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576" windowHeight="12072" tabRatio="912" activeTab="10"/>
  </bookViews>
  <sheets>
    <sheet name="Заголовочная часть" sheetId="6" r:id="rId1"/>
    <sheet name="Таблица 1" sheetId="1" r:id="rId2"/>
    <sheet name="Таблица 2 (2018)" sheetId="2" r:id="rId3"/>
    <sheet name="Таблица 2.1 (2019)" sheetId="35" r:id="rId4"/>
    <sheet name="Таблица 2.2 (2020)" sheetId="36" r:id="rId5"/>
    <sheet name="Таблица 2.3" sheetId="3" r:id="rId6"/>
    <sheet name="Таблица 3, 4" sheetId="4" r:id="rId7"/>
    <sheet name="Таблица 5" sheetId="9" r:id="rId8"/>
    <sheet name="Таблица по услугам" sheetId="34" r:id="rId9"/>
    <sheet name="Таблица 6" sheetId="18" r:id="rId10"/>
    <sheet name="Сведения профы" sheetId="38" r:id="rId11"/>
    <sheet name="Таблица 4.1" sheetId="12" r:id="rId12"/>
    <sheet name="Приложение 1" sheetId="14" r:id="rId13"/>
    <sheet name="Приложение 1.1" sheetId="15" r:id="rId14"/>
    <sheet name="112" sheetId="17" r:id="rId15"/>
    <sheet name="119" sheetId="19" r:id="rId16"/>
    <sheet name="321" sheetId="22" r:id="rId17"/>
    <sheet name="340, 360" sheetId="23" r:id="rId18"/>
    <sheet name="851, 852, 853" sheetId="24" r:id="rId19"/>
    <sheet name="244 не закупка" sheetId="20" r:id="rId20"/>
    <sheet name="221, 222, 224" sheetId="25" r:id="rId21"/>
    <sheet name="223" sheetId="26" r:id="rId22"/>
    <sheet name="225" sheetId="27" r:id="rId23"/>
    <sheet name="226" sheetId="30" r:id="rId24"/>
    <sheet name="310, 340" sheetId="21" r:id="rId25"/>
    <sheet name="предписания" sheetId="31" r:id="rId26"/>
    <sheet name="развитие МТБ" sheetId="33" r:id="rId27"/>
  </sheets>
  <definedNames>
    <definedName name="_ftn1" localSheetId="20">#REF!</definedName>
    <definedName name="_ftn1" localSheetId="21">#REF!</definedName>
    <definedName name="_ftn1" localSheetId="22">#REF!</definedName>
    <definedName name="_ftn1" localSheetId="23">#REF!</definedName>
    <definedName name="_ftn1" localSheetId="16">#REF!</definedName>
    <definedName name="_ftn1" localSheetId="17">#REF!</definedName>
    <definedName name="_ftn1" localSheetId="18">#REF!</definedName>
    <definedName name="_ftn1" localSheetId="26">#REF!</definedName>
    <definedName name="_ftn1" localSheetId="10">#REF!</definedName>
    <definedName name="_ftn1" localSheetId="3">#REF!</definedName>
    <definedName name="_ftn1" localSheetId="4">#REF!</definedName>
    <definedName name="_ftn1">#REF!</definedName>
    <definedName name="_ftnref1" localSheetId="20">#REF!</definedName>
    <definedName name="_ftnref1" localSheetId="21">#REF!</definedName>
    <definedName name="_ftnref1" localSheetId="22">#REF!</definedName>
    <definedName name="_ftnref1" localSheetId="23">#REF!</definedName>
    <definedName name="_ftnref1" localSheetId="16">#REF!</definedName>
    <definedName name="_ftnref1" localSheetId="17">#REF!</definedName>
    <definedName name="_ftnref1" localSheetId="18">#REF!</definedName>
    <definedName name="_ftnref1" localSheetId="26">#REF!</definedName>
    <definedName name="_ftnref1" localSheetId="10">#REF!</definedName>
    <definedName name="_ftnref1" localSheetId="3">#REF!</definedName>
    <definedName name="_ftnref1" localSheetId="4">#REF!</definedName>
    <definedName name="_ftnref1">#REF!</definedName>
    <definedName name="_ftnref2" localSheetId="20">#REF!</definedName>
    <definedName name="_ftnref2" localSheetId="21">#REF!</definedName>
    <definedName name="_ftnref2" localSheetId="22">#REF!</definedName>
    <definedName name="_ftnref2" localSheetId="23">#REF!</definedName>
    <definedName name="_ftnref2" localSheetId="16">#REF!</definedName>
    <definedName name="_ftnref2" localSheetId="17">#REF!</definedName>
    <definedName name="_ftnref2" localSheetId="18">#REF!</definedName>
    <definedName name="_ftnref2" localSheetId="26">#REF!</definedName>
    <definedName name="_ftnref2" localSheetId="10">#REF!</definedName>
    <definedName name="_ftnref2" localSheetId="3">#REF!</definedName>
    <definedName name="_ftnref2" localSheetId="4">#REF!</definedName>
    <definedName name="_ftnref2">#REF!</definedName>
    <definedName name="_xlnm._FilterDatabase" localSheetId="9" hidden="1">'Таблица 6'!$A$6:$I$113</definedName>
    <definedName name="_xlnm.Print_Titles" localSheetId="22">'225'!$4:$6</definedName>
    <definedName name="_xlnm.Print_Titles" localSheetId="23">'226'!$4:$6</definedName>
    <definedName name="_xlnm.Print_Titles" localSheetId="24">'310, 340'!$4:$6</definedName>
    <definedName name="_xlnm.Print_Titles" localSheetId="25">предписания!$5:$7</definedName>
    <definedName name="_xlnm.Print_Titles" localSheetId="26">'развитие МТБ'!$5:$7</definedName>
    <definedName name="_xlnm.Print_Titles" localSheetId="10">'Сведения профы'!$28:$30</definedName>
    <definedName name="_xlnm.Print_Titles" localSheetId="7">'Таблица 5'!$6:$10</definedName>
    <definedName name="_xlnm.Print_Titles" localSheetId="9">'Таблица 6'!$6:$10</definedName>
    <definedName name="_xlnm.Print_Area" localSheetId="13">'Приложение 1.1'!$A$1:$S$42</definedName>
    <definedName name="пп" localSheetId="20">#REF!</definedName>
    <definedName name="пп" localSheetId="21">#REF!</definedName>
    <definedName name="пп" localSheetId="22">#REF!</definedName>
    <definedName name="пп" localSheetId="23">#REF!</definedName>
    <definedName name="пп" localSheetId="18">#REF!</definedName>
    <definedName name="пп" localSheetId="26">#REF!</definedName>
    <definedName name="пп" localSheetId="10">#REF!</definedName>
    <definedName name="пп" localSheetId="3">#REF!</definedName>
    <definedName name="пп" localSheetId="4">#REF!</definedName>
    <definedName name="пп">#REF!</definedName>
  </definedNames>
  <calcPr calcId="145621" fullPrecision="0"/>
</workbook>
</file>

<file path=xl/calcChain.xml><?xml version="1.0" encoding="utf-8"?>
<calcChain xmlns="http://schemas.openxmlformats.org/spreadsheetml/2006/main">
  <c r="I77" i="38" l="1"/>
  <c r="F42" i="2"/>
  <c r="H67" i="2"/>
  <c r="H60" i="2"/>
  <c r="H56" i="2"/>
  <c r="H54" i="2"/>
  <c r="E60" i="2"/>
  <c r="E54" i="2"/>
  <c r="C12" i="38" l="1"/>
  <c r="E7" i="38"/>
  <c r="M56" i="9"/>
  <c r="F29" i="2"/>
  <c r="F23" i="18"/>
  <c r="E65" i="9" l="1"/>
  <c r="E50" i="9"/>
  <c r="E37" i="9" s="1"/>
  <c r="H53" i="3"/>
  <c r="E56" i="2"/>
  <c r="A2" i="31"/>
  <c r="A2" i="33"/>
  <c r="F53" i="21" l="1"/>
  <c r="H48" i="21" l="1"/>
  <c r="F29" i="14" l="1"/>
  <c r="J94" i="38" l="1"/>
  <c r="A103" i="38"/>
  <c r="H94" i="38"/>
  <c r="F94" i="38"/>
  <c r="I91" i="38"/>
  <c r="I85" i="38"/>
  <c r="I82" i="38"/>
  <c r="I71" i="38"/>
  <c r="I68" i="38"/>
  <c r="I65" i="38"/>
  <c r="I57" i="38"/>
  <c r="I54" i="38"/>
  <c r="I48" i="38"/>
  <c r="I31" i="38"/>
  <c r="B14" i="38"/>
  <c r="E53" i="18"/>
  <c r="E72" i="18"/>
  <c r="D72" i="18"/>
  <c r="E43" i="21"/>
  <c r="G8" i="24"/>
  <c r="F101" i="18"/>
  <c r="C18" i="24"/>
  <c r="F38" i="24"/>
  <c r="G53" i="30"/>
  <c r="H53" i="30"/>
  <c r="G8" i="30"/>
  <c r="H8" i="30"/>
  <c r="G28" i="30"/>
  <c r="H28" i="30"/>
  <c r="G21" i="30"/>
  <c r="H21" i="30"/>
  <c r="G43" i="30"/>
  <c r="H43" i="30"/>
  <c r="G63" i="30"/>
  <c r="H63" i="30"/>
  <c r="E52" i="18"/>
  <c r="I94" i="38" l="1"/>
  <c r="F50" i="18"/>
  <c r="F83" i="18" s="1"/>
  <c r="F49" i="18"/>
  <c r="F82" i="18" s="1"/>
  <c r="E51" i="18"/>
  <c r="E96" i="18" s="1"/>
  <c r="E50" i="18"/>
  <c r="E95" i="18" s="1"/>
  <c r="E49" i="18"/>
  <c r="F15" i="25"/>
  <c r="F17" i="18"/>
  <c r="C33" i="14"/>
  <c r="D33" i="14"/>
  <c r="E33" i="14"/>
  <c r="A3" i="18"/>
  <c r="A4" i="14"/>
  <c r="A6" i="14"/>
  <c r="E85" i="18"/>
  <c r="E79" i="18"/>
  <c r="E78" i="18"/>
  <c r="E71" i="18"/>
  <c r="E70" i="18"/>
  <c r="E28" i="18"/>
  <c r="E106" i="18" s="1"/>
  <c r="E23" i="18"/>
  <c r="E20" i="18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4" i="9"/>
  <c r="F65" i="9"/>
  <c r="F66" i="9"/>
  <c r="F63" i="9"/>
  <c r="I22" i="9"/>
  <c r="B4" i="15"/>
  <c r="E104" i="18" l="1"/>
  <c r="E110" i="18"/>
  <c r="E103" i="18"/>
  <c r="E94" i="18"/>
  <c r="E54" i="18"/>
  <c r="F47" i="21"/>
  <c r="G47" i="21" s="1"/>
  <c r="F46" i="21"/>
  <c r="G46" i="21" s="1"/>
  <c r="F45" i="21"/>
  <c r="G45" i="21" s="1"/>
  <c r="F24" i="23"/>
  <c r="E23" i="23"/>
  <c r="E22" i="23"/>
  <c r="F13" i="23"/>
  <c r="F12" i="23"/>
  <c r="F11" i="23"/>
  <c r="F9" i="23"/>
  <c r="F8" i="23"/>
  <c r="C7" i="23"/>
  <c r="F7" i="23" s="1"/>
  <c r="F6" i="23"/>
  <c r="D22" i="34"/>
  <c r="H39" i="3"/>
  <c r="H35" i="3" s="1"/>
  <c r="F14" i="23" l="1"/>
  <c r="F10" i="23"/>
  <c r="F15" i="23" s="1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D57" i="2"/>
  <c r="D56" i="2"/>
  <c r="D54" i="2"/>
  <c r="A78" i="2"/>
  <c r="A78" i="35" s="1"/>
  <c r="D67" i="36"/>
  <c r="D66" i="36"/>
  <c r="D65" i="36"/>
  <c r="D63" i="36"/>
  <c r="D62" i="36"/>
  <c r="D60" i="36"/>
  <c r="D59" i="36"/>
  <c r="D58" i="36"/>
  <c r="D57" i="36"/>
  <c r="D56" i="36"/>
  <c r="D55" i="36"/>
  <c r="D54" i="36"/>
  <c r="D53" i="36"/>
  <c r="D52" i="36"/>
  <c r="D50" i="36"/>
  <c r="D48" i="36"/>
  <c r="D47" i="36"/>
  <c r="D46" i="36"/>
  <c r="D45" i="36"/>
  <c r="D44" i="36"/>
  <c r="D43" i="36"/>
  <c r="D42" i="36"/>
  <c r="D41" i="36"/>
  <c r="D40" i="36"/>
  <c r="D38" i="36"/>
  <c r="D34" i="36"/>
  <c r="D33" i="36"/>
  <c r="D32" i="36"/>
  <c r="D31" i="36"/>
  <c r="D29" i="36"/>
  <c r="D28" i="36"/>
  <c r="D27" i="36"/>
  <c r="D25" i="36"/>
  <c r="D24" i="36"/>
  <c r="D23" i="36"/>
  <c r="D22" i="36"/>
  <c r="D19" i="36"/>
  <c r="D18" i="36"/>
  <c r="D17" i="36"/>
  <c r="D16" i="36"/>
  <c r="D15" i="36"/>
  <c r="D14" i="36"/>
  <c r="D13" i="36"/>
  <c r="D67" i="35"/>
  <c r="D66" i="35"/>
  <c r="D65" i="35"/>
  <c r="D63" i="35"/>
  <c r="D62" i="35"/>
  <c r="D60" i="35"/>
  <c r="D59" i="35"/>
  <c r="D58" i="35"/>
  <c r="D57" i="35"/>
  <c r="D56" i="35"/>
  <c r="D55" i="35"/>
  <c r="D54" i="35"/>
  <c r="D53" i="35"/>
  <c r="D52" i="35"/>
  <c r="D50" i="35"/>
  <c r="D48" i="35"/>
  <c r="D47" i="35"/>
  <c r="D46" i="35"/>
  <c r="D45" i="35"/>
  <c r="D44" i="35"/>
  <c r="D43" i="35"/>
  <c r="D42" i="35"/>
  <c r="D41" i="35"/>
  <c r="D40" i="35"/>
  <c r="D38" i="35"/>
  <c r="D34" i="35"/>
  <c r="D33" i="35"/>
  <c r="D32" i="35"/>
  <c r="D31" i="35"/>
  <c r="D29" i="35"/>
  <c r="D28" i="35"/>
  <c r="D27" i="35"/>
  <c r="D25" i="35"/>
  <c r="D24" i="35"/>
  <c r="D23" i="35"/>
  <c r="D22" i="35"/>
  <c r="D19" i="35"/>
  <c r="D18" i="35"/>
  <c r="D17" i="35"/>
  <c r="D16" i="35"/>
  <c r="D15" i="35"/>
  <c r="D14" i="35"/>
  <c r="D13" i="35"/>
  <c r="D67" i="2"/>
  <c r="D66" i="2"/>
  <c r="D65" i="2"/>
  <c r="D63" i="2"/>
  <c r="D62" i="2"/>
  <c r="D59" i="2"/>
  <c r="D58" i="2"/>
  <c r="D55" i="2"/>
  <c r="D53" i="2"/>
  <c r="D52" i="2"/>
  <c r="D50" i="2"/>
  <c r="D48" i="2"/>
  <c r="D47" i="2"/>
  <c r="D46" i="2"/>
  <c r="D45" i="2"/>
  <c r="D44" i="2"/>
  <c r="D43" i="2"/>
  <c r="D42" i="2"/>
  <c r="D41" i="2"/>
  <c r="D40" i="2"/>
  <c r="D38" i="2"/>
  <c r="D34" i="2"/>
  <c r="D33" i="2"/>
  <c r="D32" i="2"/>
  <c r="D31" i="2"/>
  <c r="D29" i="2"/>
  <c r="D28" i="2"/>
  <c r="D27" i="2"/>
  <c r="D25" i="2"/>
  <c r="D24" i="2"/>
  <c r="D23" i="2"/>
  <c r="D22" i="2"/>
  <c r="D19" i="2"/>
  <c r="D18" i="2"/>
  <c r="D17" i="2"/>
  <c r="D16" i="2"/>
  <c r="D15" i="2"/>
  <c r="D14" i="2"/>
  <c r="D13" i="2"/>
  <c r="D12" i="2" l="1"/>
  <c r="D61" i="2"/>
  <c r="D64" i="2"/>
  <c r="D61" i="36"/>
  <c r="D64" i="35"/>
  <c r="D30" i="35"/>
  <c r="D26" i="2"/>
  <c r="D26" i="35"/>
  <c r="A78" i="36"/>
  <c r="D12" i="35"/>
  <c r="D12" i="36"/>
  <c r="D39" i="2"/>
  <c r="D37" i="2" s="1"/>
  <c r="D61" i="35"/>
  <c r="D51" i="36"/>
  <c r="D21" i="35"/>
  <c r="D51" i="35"/>
  <c r="D49" i="35" s="1"/>
  <c r="D39" i="36"/>
  <c r="D37" i="36" s="1"/>
  <c r="D49" i="36"/>
  <c r="D64" i="36"/>
  <c r="G35" i="3"/>
  <c r="F15" i="3"/>
  <c r="D30" i="36"/>
  <c r="D39" i="35"/>
  <c r="D37" i="35" s="1"/>
  <c r="G15" i="3"/>
  <c r="G13" i="3" s="1"/>
  <c r="D21" i="36"/>
  <c r="D26" i="36"/>
  <c r="F35" i="3"/>
  <c r="D21" i="2"/>
  <c r="F16" i="23"/>
  <c r="D60" i="2"/>
  <c r="D51" i="2" s="1"/>
  <c r="D49" i="2" s="1"/>
  <c r="D30" i="2"/>
  <c r="D20" i="2" l="1"/>
  <c r="D68" i="2" s="1"/>
  <c r="D20" i="35"/>
  <c r="D68" i="35" s="1"/>
  <c r="F13" i="3"/>
  <c r="D20" i="36"/>
  <c r="D68" i="36" s="1"/>
  <c r="H78" i="21" l="1"/>
  <c r="F74" i="21"/>
  <c r="F73" i="21"/>
  <c r="F72" i="21"/>
  <c r="F71" i="21"/>
  <c r="F70" i="21"/>
  <c r="F69" i="21"/>
  <c r="F68" i="21"/>
  <c r="F67" i="21"/>
  <c r="H66" i="21"/>
  <c r="H75" i="21" s="1"/>
  <c r="G66" i="21"/>
  <c r="F63" i="21"/>
  <c r="F62" i="21"/>
  <c r="F61" i="21"/>
  <c r="F60" i="21"/>
  <c r="F59" i="21"/>
  <c r="F58" i="21"/>
  <c r="F56" i="21"/>
  <c r="F55" i="21"/>
  <c r="F54" i="21"/>
  <c r="H52" i="21"/>
  <c r="G52" i="21"/>
  <c r="G64" i="21" s="1"/>
  <c r="F51" i="21"/>
  <c r="F44" i="21"/>
  <c r="F79" i="21" s="1"/>
  <c r="H44" i="21"/>
  <c r="H42" i="21" s="1"/>
  <c r="G44" i="21"/>
  <c r="F43" i="21"/>
  <c r="G43" i="21" s="1"/>
  <c r="G78" i="21" s="1"/>
  <c r="H39" i="21"/>
  <c r="E27" i="18" s="1"/>
  <c r="G39" i="21"/>
  <c r="D27" i="18" s="1"/>
  <c r="F39" i="21"/>
  <c r="F36" i="21"/>
  <c r="F32" i="21" s="1"/>
  <c r="H32" i="21"/>
  <c r="G32" i="21"/>
  <c r="F31" i="21"/>
  <c r="F30" i="21"/>
  <c r="F29" i="21"/>
  <c r="F28" i="21"/>
  <c r="H27" i="21"/>
  <c r="G27" i="21"/>
  <c r="F26" i="21"/>
  <c r="F25" i="21"/>
  <c r="F24" i="21"/>
  <c r="F23" i="21"/>
  <c r="H23" i="21" s="1"/>
  <c r="H22" i="21" s="1"/>
  <c r="G22" i="21"/>
  <c r="G80" i="21" s="1"/>
  <c r="F19" i="21"/>
  <c r="F18" i="21"/>
  <c r="H17" i="21"/>
  <c r="G17" i="21"/>
  <c r="F15" i="21"/>
  <c r="F14" i="21"/>
  <c r="F13" i="21"/>
  <c r="F12" i="21"/>
  <c r="F11" i="21"/>
  <c r="F10" i="21"/>
  <c r="F9" i="21"/>
  <c r="H8" i="21"/>
  <c r="G8" i="21"/>
  <c r="F52" i="21" l="1"/>
  <c r="F64" i="21" s="1"/>
  <c r="D29" i="18"/>
  <c r="G42" i="21"/>
  <c r="G49" i="21" s="1"/>
  <c r="G16" i="21"/>
  <c r="G37" i="21" s="1"/>
  <c r="F66" i="21"/>
  <c r="F75" i="21" s="1"/>
  <c r="D22" i="18"/>
  <c r="H81" i="21"/>
  <c r="G77" i="21"/>
  <c r="D21" i="18"/>
  <c r="F17" i="21"/>
  <c r="G82" i="21"/>
  <c r="D68" i="18"/>
  <c r="F78" i="21"/>
  <c r="D28" i="18"/>
  <c r="H64" i="21"/>
  <c r="E73" i="18"/>
  <c r="E109" i="18" s="1"/>
  <c r="H82" i="21"/>
  <c r="E68" i="18"/>
  <c r="D73" i="18"/>
  <c r="F8" i="21"/>
  <c r="H80" i="21"/>
  <c r="E22" i="18"/>
  <c r="E108" i="18" s="1"/>
  <c r="G81" i="21"/>
  <c r="G75" i="21"/>
  <c r="F27" i="21"/>
  <c r="F81" i="21" s="1"/>
  <c r="H79" i="21"/>
  <c r="E29" i="18"/>
  <c r="H77" i="21"/>
  <c r="H16" i="21"/>
  <c r="H37" i="21" s="1"/>
  <c r="E21" i="18"/>
  <c r="E105" i="18" s="1"/>
  <c r="F42" i="21"/>
  <c r="F49" i="21" s="1"/>
  <c r="G79" i="21"/>
  <c r="F82" i="21"/>
  <c r="F22" i="21"/>
  <c r="F80" i="21" s="1"/>
  <c r="H49" i="21"/>
  <c r="F77" i="21" l="1"/>
  <c r="F16" i="21"/>
  <c r="F37" i="21" s="1"/>
  <c r="F76" i="21" s="1"/>
  <c r="E107" i="18"/>
  <c r="H76" i="21"/>
  <c r="G76" i="21"/>
  <c r="F30" i="35" l="1"/>
  <c r="H64" i="2"/>
  <c r="H61" i="2"/>
  <c r="H51" i="2"/>
  <c r="H49" i="2" s="1"/>
  <c r="H39" i="2"/>
  <c r="H37" i="2" s="1"/>
  <c r="H30" i="2"/>
  <c r="H26" i="2"/>
  <c r="H21" i="2"/>
  <c r="H12" i="2"/>
  <c r="F64" i="2"/>
  <c r="F61" i="2"/>
  <c r="F51" i="2"/>
  <c r="F49" i="2" s="1"/>
  <c r="F39" i="2"/>
  <c r="F37" i="2" s="1"/>
  <c r="F30" i="2"/>
  <c r="F26" i="2"/>
  <c r="E39" i="2"/>
  <c r="E37" i="2" s="1"/>
  <c r="H20" i="2" l="1"/>
  <c r="H68" i="2" s="1"/>
  <c r="H33" i="14"/>
  <c r="G33" i="14"/>
  <c r="C24" i="19" s="1"/>
  <c r="D24" i="19" s="1"/>
  <c r="F33" i="14"/>
  <c r="H31" i="14"/>
  <c r="G31" i="14"/>
  <c r="C12" i="19" s="1"/>
  <c r="D12" i="19" s="1"/>
  <c r="D11" i="19" s="1"/>
  <c r="E31" i="14"/>
  <c r="E34" i="14" s="1"/>
  <c r="D31" i="14"/>
  <c r="D34" i="14" s="1"/>
  <c r="C31" i="14"/>
  <c r="C34" i="14" s="1"/>
  <c r="F30" i="14"/>
  <c r="F22" i="14"/>
  <c r="F21" i="14"/>
  <c r="F25" i="33"/>
  <c r="E25" i="33"/>
  <c r="D25" i="33"/>
  <c r="H13" i="31"/>
  <c r="G13" i="31"/>
  <c r="F13" i="31"/>
  <c r="F77" i="30"/>
  <c r="F76" i="30"/>
  <c r="F75" i="30"/>
  <c r="F74" i="30"/>
  <c r="F73" i="30"/>
  <c r="F72" i="30"/>
  <c r="F71" i="30"/>
  <c r="F70" i="30"/>
  <c r="F69" i="30"/>
  <c r="F68" i="30"/>
  <c r="F67" i="30"/>
  <c r="F66" i="30"/>
  <c r="E65" i="30"/>
  <c r="F64" i="30"/>
  <c r="F62" i="30"/>
  <c r="F61" i="30"/>
  <c r="H60" i="30"/>
  <c r="H78" i="30" s="1"/>
  <c r="G60" i="30"/>
  <c r="G78" i="30" s="1"/>
  <c r="D67" i="18" s="1"/>
  <c r="F59" i="30"/>
  <c r="F58" i="30"/>
  <c r="F57" i="30"/>
  <c r="F56" i="30"/>
  <c r="F55" i="30"/>
  <c r="F54" i="30"/>
  <c r="F50" i="30"/>
  <c r="F49" i="30"/>
  <c r="F48" i="30"/>
  <c r="H47" i="30"/>
  <c r="H51" i="30" s="1"/>
  <c r="G47" i="30"/>
  <c r="G51" i="30" s="1"/>
  <c r="D61" i="18" s="1"/>
  <c r="F46" i="30"/>
  <c r="F45" i="30"/>
  <c r="F44" i="30"/>
  <c r="F40" i="30"/>
  <c r="F39" i="30"/>
  <c r="F38" i="30"/>
  <c r="H37" i="30"/>
  <c r="G37" i="30"/>
  <c r="F36" i="30"/>
  <c r="F35" i="30"/>
  <c r="H34" i="30"/>
  <c r="G34" i="30"/>
  <c r="F33" i="30"/>
  <c r="F32" i="30"/>
  <c r="H31" i="30"/>
  <c r="G31" i="30"/>
  <c r="F30" i="30"/>
  <c r="F29" i="30"/>
  <c r="F27" i="30"/>
  <c r="F26" i="30"/>
  <c r="H25" i="30"/>
  <c r="G25" i="30"/>
  <c r="F25" i="30"/>
  <c r="F24" i="30"/>
  <c r="F23" i="30"/>
  <c r="F22" i="30"/>
  <c r="F18" i="30"/>
  <c r="F17" i="30"/>
  <c r="H16" i="30"/>
  <c r="G16" i="30"/>
  <c r="F15" i="30"/>
  <c r="F14" i="30"/>
  <c r="H13" i="30"/>
  <c r="H19" i="30" s="1"/>
  <c r="G13" i="30"/>
  <c r="F12" i="30"/>
  <c r="F11" i="30"/>
  <c r="F10" i="30"/>
  <c r="F9" i="30"/>
  <c r="F49" i="27"/>
  <c r="F48" i="27"/>
  <c r="F47" i="27"/>
  <c r="F46" i="27"/>
  <c r="F45" i="27"/>
  <c r="F44" i="27"/>
  <c r="F43" i="27"/>
  <c r="H42" i="27"/>
  <c r="E66" i="18" s="1"/>
  <c r="G42" i="27"/>
  <c r="D66" i="18" s="1"/>
  <c r="F40" i="27"/>
  <c r="F39" i="27"/>
  <c r="H38" i="27"/>
  <c r="E60" i="18" s="1"/>
  <c r="G38" i="27"/>
  <c r="D60" i="18" s="1"/>
  <c r="F35" i="27"/>
  <c r="F34" i="27"/>
  <c r="F33" i="27"/>
  <c r="F32" i="27"/>
  <c r="F31" i="27"/>
  <c r="H30" i="27"/>
  <c r="G30" i="27"/>
  <c r="F29" i="27"/>
  <c r="F28" i="27"/>
  <c r="F27" i="27"/>
  <c r="F26" i="27"/>
  <c r="F25" i="27"/>
  <c r="H24" i="27"/>
  <c r="G24" i="27"/>
  <c r="F23" i="27"/>
  <c r="F22" i="27"/>
  <c r="F21" i="27"/>
  <c r="H20" i="27"/>
  <c r="G20" i="27"/>
  <c r="F19" i="27"/>
  <c r="F18" i="27"/>
  <c r="F17" i="27"/>
  <c r="H16" i="27"/>
  <c r="G16" i="27"/>
  <c r="F15" i="27"/>
  <c r="F14" i="27"/>
  <c r="F13" i="27"/>
  <c r="H12" i="27"/>
  <c r="G12" i="27"/>
  <c r="F11" i="27"/>
  <c r="F10" i="27"/>
  <c r="F9" i="27"/>
  <c r="H8" i="27"/>
  <c r="G8" i="27"/>
  <c r="Q18" i="26"/>
  <c r="K17" i="26"/>
  <c r="L17" i="26" s="1"/>
  <c r="N17" i="26" s="1"/>
  <c r="P17" i="26" s="1"/>
  <c r="H17" i="26"/>
  <c r="K16" i="26"/>
  <c r="L16" i="26" s="1"/>
  <c r="N16" i="26" s="1"/>
  <c r="P16" i="26" s="1"/>
  <c r="H16" i="26"/>
  <c r="K15" i="26"/>
  <c r="L15" i="26" s="1"/>
  <c r="N15" i="26" s="1"/>
  <c r="P15" i="26" s="1"/>
  <c r="H15" i="26"/>
  <c r="K14" i="26"/>
  <c r="L14" i="26" s="1"/>
  <c r="N14" i="26" s="1"/>
  <c r="P14" i="26" s="1"/>
  <c r="H14" i="26"/>
  <c r="K13" i="26"/>
  <c r="L13" i="26" s="1"/>
  <c r="N13" i="26" s="1"/>
  <c r="P13" i="26" s="1"/>
  <c r="H13" i="26"/>
  <c r="K12" i="26"/>
  <c r="L12" i="26" s="1"/>
  <c r="H12" i="26"/>
  <c r="K11" i="26"/>
  <c r="L11" i="26" s="1"/>
  <c r="N11" i="26" s="1"/>
  <c r="P11" i="26" s="1"/>
  <c r="H11" i="26"/>
  <c r="K10" i="26"/>
  <c r="L10" i="26" s="1"/>
  <c r="N10" i="26" s="1"/>
  <c r="P10" i="26" s="1"/>
  <c r="H10" i="26"/>
  <c r="K9" i="26"/>
  <c r="L9" i="26" s="1"/>
  <c r="L18" i="26" s="1"/>
  <c r="H9" i="26"/>
  <c r="H51" i="25"/>
  <c r="E65" i="18" s="1"/>
  <c r="G51" i="25"/>
  <c r="F50" i="25"/>
  <c r="F49" i="25"/>
  <c r="F48" i="25"/>
  <c r="H46" i="25"/>
  <c r="G46" i="25"/>
  <c r="G52" i="25" s="1"/>
  <c r="F45" i="25"/>
  <c r="F44" i="25"/>
  <c r="F46" i="25" s="1"/>
  <c r="G35" i="25"/>
  <c r="E46" i="18" s="1"/>
  <c r="F35" i="25"/>
  <c r="E34" i="25"/>
  <c r="E33" i="25"/>
  <c r="E32" i="25"/>
  <c r="E31" i="25"/>
  <c r="E30" i="25"/>
  <c r="H20" i="25"/>
  <c r="E43" i="18" s="1"/>
  <c r="E44" i="18" s="1"/>
  <c r="G20" i="25"/>
  <c r="F19" i="25"/>
  <c r="F18" i="25"/>
  <c r="F17" i="25"/>
  <c r="F16" i="25"/>
  <c r="F14" i="25"/>
  <c r="H12" i="25"/>
  <c r="G12" i="25"/>
  <c r="G21" i="25" s="1"/>
  <c r="F11" i="25"/>
  <c r="F10" i="25"/>
  <c r="F12" i="25" s="1"/>
  <c r="G51" i="24"/>
  <c r="F51" i="24"/>
  <c r="E50" i="24"/>
  <c r="E49" i="24"/>
  <c r="E48" i="24"/>
  <c r="E46" i="24"/>
  <c r="G38" i="24"/>
  <c r="E37" i="24"/>
  <c r="E36" i="24"/>
  <c r="E34" i="24"/>
  <c r="E33" i="24"/>
  <c r="E31" i="24"/>
  <c r="G23" i="24"/>
  <c r="E77" i="18" s="1"/>
  <c r="F23" i="24"/>
  <c r="E22" i="24"/>
  <c r="E21" i="24"/>
  <c r="E20" i="24"/>
  <c r="E19" i="24"/>
  <c r="E18" i="24"/>
  <c r="G10" i="24"/>
  <c r="E69" i="18" s="1"/>
  <c r="E101" i="18" s="1"/>
  <c r="F10" i="24"/>
  <c r="D69" i="18" s="1"/>
  <c r="E9" i="24"/>
  <c r="E8" i="24"/>
  <c r="H44" i="17"/>
  <c r="E39" i="18" s="1"/>
  <c r="G44" i="17"/>
  <c r="F43" i="17"/>
  <c r="F42" i="17"/>
  <c r="F41" i="17"/>
  <c r="F40" i="17"/>
  <c r="F39" i="17"/>
  <c r="H29" i="17"/>
  <c r="E64" i="18" s="1"/>
  <c r="E90" i="18" s="1"/>
  <c r="G29" i="17"/>
  <c r="F28" i="17"/>
  <c r="F27" i="17"/>
  <c r="F26" i="17"/>
  <c r="F25" i="17"/>
  <c r="H15" i="17"/>
  <c r="E17" i="18" s="1"/>
  <c r="G15" i="17"/>
  <c r="F14" i="17"/>
  <c r="F13" i="17"/>
  <c r="F12" i="17"/>
  <c r="F11" i="17"/>
  <c r="F10" i="17"/>
  <c r="K23" i="15"/>
  <c r="B23" i="15"/>
  <c r="K22" i="15"/>
  <c r="B22" i="15"/>
  <c r="K21" i="15"/>
  <c r="G21" i="15"/>
  <c r="B21" i="15" s="1"/>
  <c r="S20" i="15"/>
  <c r="R20" i="15"/>
  <c r="Q20" i="15"/>
  <c r="P20" i="15"/>
  <c r="O20" i="15"/>
  <c r="N20" i="15"/>
  <c r="M20" i="15"/>
  <c r="L20" i="15"/>
  <c r="J20" i="15"/>
  <c r="I20" i="15"/>
  <c r="H20" i="15"/>
  <c r="G20" i="15"/>
  <c r="F20" i="15"/>
  <c r="E20" i="15"/>
  <c r="D20" i="15"/>
  <c r="C20" i="15"/>
  <c r="K19" i="15"/>
  <c r="B19" i="15"/>
  <c r="K18" i="15"/>
  <c r="K17" i="15" s="1"/>
  <c r="B18" i="15"/>
  <c r="S17" i="15"/>
  <c r="R17" i="15"/>
  <c r="Q17" i="15"/>
  <c r="P17" i="15"/>
  <c r="O17" i="15"/>
  <c r="N17" i="15"/>
  <c r="M17" i="15"/>
  <c r="L17" i="15"/>
  <c r="J17" i="15"/>
  <c r="I17" i="15"/>
  <c r="H17" i="15"/>
  <c r="G17" i="15"/>
  <c r="E17" i="15"/>
  <c r="D17" i="15"/>
  <c r="C17" i="15"/>
  <c r="K16" i="15"/>
  <c r="B16" i="15"/>
  <c r="K15" i="15"/>
  <c r="B15" i="15"/>
  <c r="K14" i="15"/>
  <c r="B14" i="15"/>
  <c r="K13" i="15"/>
  <c r="C13" i="15"/>
  <c r="B13" i="15" s="1"/>
  <c r="K12" i="15"/>
  <c r="B12" i="15"/>
  <c r="K11" i="15"/>
  <c r="C11" i="15"/>
  <c r="B11" i="15" s="1"/>
  <c r="S10" i="15"/>
  <c r="R10" i="15"/>
  <c r="Q10" i="15"/>
  <c r="P10" i="15"/>
  <c r="O10" i="15"/>
  <c r="N10" i="15"/>
  <c r="M10" i="15"/>
  <c r="L10" i="15"/>
  <c r="J10" i="15"/>
  <c r="I10" i="15"/>
  <c r="H10" i="15"/>
  <c r="G10" i="15"/>
  <c r="F10" i="15"/>
  <c r="E10" i="15"/>
  <c r="D10" i="15"/>
  <c r="F51" i="25" l="1"/>
  <c r="O24" i="15"/>
  <c r="S24" i="15"/>
  <c r="N12" i="26"/>
  <c r="P12" i="26" s="1"/>
  <c r="D50" i="18"/>
  <c r="F15" i="17"/>
  <c r="F21" i="30"/>
  <c r="G41" i="30"/>
  <c r="D57" i="18" s="1"/>
  <c r="F31" i="30"/>
  <c r="F34" i="30"/>
  <c r="F37" i="30"/>
  <c r="F43" i="30"/>
  <c r="E19" i="18"/>
  <c r="H41" i="30"/>
  <c r="E57" i="18" s="1"/>
  <c r="E89" i="18"/>
  <c r="E51" i="24"/>
  <c r="F20" i="27"/>
  <c r="F16" i="30"/>
  <c r="G36" i="27"/>
  <c r="G51" i="27" s="1"/>
  <c r="G52" i="27" s="1"/>
  <c r="B20" i="15"/>
  <c r="E23" i="24"/>
  <c r="F20" i="25"/>
  <c r="F21" i="25" s="1"/>
  <c r="F8" i="30"/>
  <c r="F53" i="30"/>
  <c r="F60" i="30"/>
  <c r="F29" i="17"/>
  <c r="E10" i="24"/>
  <c r="E47" i="18"/>
  <c r="E93" i="18"/>
  <c r="H52" i="25"/>
  <c r="E26" i="18"/>
  <c r="N9" i="26"/>
  <c r="P9" i="26" s="1"/>
  <c r="D82" i="18" s="1"/>
  <c r="F16" i="27"/>
  <c r="F24" i="27"/>
  <c r="F38" i="27"/>
  <c r="F42" i="27"/>
  <c r="G69" i="18"/>
  <c r="H69" i="18"/>
  <c r="D101" i="18"/>
  <c r="E102" i="18"/>
  <c r="E80" i="18"/>
  <c r="E86" i="18" s="1"/>
  <c r="K18" i="26"/>
  <c r="F63" i="30"/>
  <c r="C21" i="19"/>
  <c r="D21" i="19" s="1"/>
  <c r="C18" i="19"/>
  <c r="D18" i="19" s="1"/>
  <c r="C16" i="19"/>
  <c r="D16" i="19" s="1"/>
  <c r="E13" i="18"/>
  <c r="E24" i="19"/>
  <c r="F24" i="19" s="1"/>
  <c r="F44" i="17"/>
  <c r="E38" i="24"/>
  <c r="H21" i="25"/>
  <c r="E18" i="18"/>
  <c r="E92" i="18" s="1"/>
  <c r="E35" i="25"/>
  <c r="H34" i="14"/>
  <c r="E12" i="19"/>
  <c r="E61" i="18"/>
  <c r="E62" i="18" s="1"/>
  <c r="G19" i="30"/>
  <c r="D19" i="18" s="1"/>
  <c r="F13" i="30"/>
  <c r="F28" i="30"/>
  <c r="F47" i="30"/>
  <c r="E67" i="18"/>
  <c r="E74" i="18" s="1"/>
  <c r="F31" i="14"/>
  <c r="F34" i="14" s="1"/>
  <c r="G34" i="14"/>
  <c r="D13" i="18"/>
  <c r="F13" i="18" s="1"/>
  <c r="F35" i="18" s="1"/>
  <c r="C10" i="15"/>
  <c r="C24" i="15" s="1"/>
  <c r="K20" i="15"/>
  <c r="K10" i="15"/>
  <c r="J24" i="15"/>
  <c r="L24" i="15"/>
  <c r="P24" i="15"/>
  <c r="B17" i="15"/>
  <c r="D24" i="15"/>
  <c r="H24" i="15"/>
  <c r="N24" i="15"/>
  <c r="R24" i="15"/>
  <c r="F24" i="15"/>
  <c r="M24" i="15"/>
  <c r="Q24" i="15"/>
  <c r="B10" i="15"/>
  <c r="I24" i="15"/>
  <c r="G24" i="15"/>
  <c r="E24" i="15"/>
  <c r="F8" i="27"/>
  <c r="F12" i="27"/>
  <c r="F30" i="27"/>
  <c r="H36" i="27"/>
  <c r="G79" i="30"/>
  <c r="P18" i="26"/>
  <c r="N18" i="26"/>
  <c r="F52" i="25"/>
  <c r="F51" i="30" l="1"/>
  <c r="F36" i="27"/>
  <c r="F51" i="27" s="1"/>
  <c r="F19" i="30"/>
  <c r="F41" i="30"/>
  <c r="H79" i="30"/>
  <c r="D56" i="18"/>
  <c r="D15" i="19"/>
  <c r="D22" i="19" s="1"/>
  <c r="D25" i="19" s="1"/>
  <c r="D36" i="18" s="1"/>
  <c r="F12" i="19"/>
  <c r="F11" i="19" s="1"/>
  <c r="E21" i="19"/>
  <c r="F21" i="19" s="1"/>
  <c r="E18" i="19"/>
  <c r="F18" i="19" s="1"/>
  <c r="E16" i="19"/>
  <c r="D35" i="18"/>
  <c r="C25" i="19"/>
  <c r="E35" i="18"/>
  <c r="E25" i="19"/>
  <c r="E14" i="18"/>
  <c r="E97" i="18"/>
  <c r="E31" i="18"/>
  <c r="F78" i="30"/>
  <c r="B24" i="15"/>
  <c r="H51" i="27"/>
  <c r="H52" i="27" s="1"/>
  <c r="E56" i="18"/>
  <c r="E24" i="18"/>
  <c r="H101" i="18"/>
  <c r="G101" i="18"/>
  <c r="E99" i="18"/>
  <c r="K24" i="15"/>
  <c r="F108" i="18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M35" i="3"/>
  <c r="L35" i="3"/>
  <c r="K35" i="3"/>
  <c r="J35" i="3"/>
  <c r="I35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16" i="3"/>
  <c r="H15" i="3"/>
  <c r="I15" i="3"/>
  <c r="J15" i="3"/>
  <c r="J13" i="3" s="1"/>
  <c r="K15" i="3"/>
  <c r="L15" i="3"/>
  <c r="M15" i="3"/>
  <c r="I64" i="36"/>
  <c r="H64" i="36"/>
  <c r="G64" i="36"/>
  <c r="F64" i="36"/>
  <c r="E64" i="36"/>
  <c r="I61" i="36"/>
  <c r="H61" i="36"/>
  <c r="G61" i="36"/>
  <c r="F61" i="36"/>
  <c r="E61" i="36"/>
  <c r="I51" i="36"/>
  <c r="I49" i="36" s="1"/>
  <c r="H51" i="36"/>
  <c r="G51" i="36"/>
  <c r="F51" i="36"/>
  <c r="F49" i="36" s="1"/>
  <c r="E51" i="36"/>
  <c r="E49" i="36" s="1"/>
  <c r="H49" i="36"/>
  <c r="G49" i="36"/>
  <c r="I39" i="36"/>
  <c r="I37" i="36" s="1"/>
  <c r="H39" i="36"/>
  <c r="G39" i="36"/>
  <c r="F39" i="36"/>
  <c r="E39" i="36"/>
  <c r="E37" i="36" s="1"/>
  <c r="H37" i="36"/>
  <c r="G37" i="36"/>
  <c r="F37" i="36"/>
  <c r="G35" i="36"/>
  <c r="I30" i="36"/>
  <c r="H30" i="36"/>
  <c r="G30" i="36"/>
  <c r="F30" i="36"/>
  <c r="E30" i="36"/>
  <c r="I26" i="36"/>
  <c r="H26" i="36"/>
  <c r="G26" i="36"/>
  <c r="F26" i="36"/>
  <c r="E26" i="36"/>
  <c r="I21" i="36"/>
  <c r="H21" i="36"/>
  <c r="G21" i="36"/>
  <c r="F21" i="36"/>
  <c r="E21" i="36"/>
  <c r="I12" i="36"/>
  <c r="H12" i="36"/>
  <c r="G12" i="36"/>
  <c r="F12" i="36"/>
  <c r="E12" i="36"/>
  <c r="A3" i="36"/>
  <c r="I64" i="35"/>
  <c r="H64" i="35"/>
  <c r="G64" i="35"/>
  <c r="F64" i="35"/>
  <c r="E64" i="35"/>
  <c r="I61" i="35"/>
  <c r="H61" i="35"/>
  <c r="G61" i="35"/>
  <c r="F61" i="35"/>
  <c r="E61" i="35"/>
  <c r="I51" i="35"/>
  <c r="I49" i="35" s="1"/>
  <c r="H51" i="35"/>
  <c r="G51" i="35"/>
  <c r="F51" i="35"/>
  <c r="F49" i="35" s="1"/>
  <c r="E51" i="35"/>
  <c r="E49" i="35" s="1"/>
  <c r="H49" i="35"/>
  <c r="G49" i="35"/>
  <c r="I39" i="35"/>
  <c r="I37" i="35" s="1"/>
  <c r="H39" i="35"/>
  <c r="G39" i="35"/>
  <c r="F39" i="35"/>
  <c r="F37" i="35" s="1"/>
  <c r="E39" i="35"/>
  <c r="E37" i="35" s="1"/>
  <c r="H37" i="35"/>
  <c r="G37" i="35"/>
  <c r="G35" i="35"/>
  <c r="I30" i="35"/>
  <c r="H30" i="35"/>
  <c r="G30" i="35"/>
  <c r="E30" i="35"/>
  <c r="I26" i="35"/>
  <c r="H26" i="35"/>
  <c r="G26" i="35"/>
  <c r="F26" i="35"/>
  <c r="E26" i="35"/>
  <c r="I21" i="35"/>
  <c r="H21" i="35"/>
  <c r="G21" i="35"/>
  <c r="F21" i="35"/>
  <c r="E21" i="35"/>
  <c r="I12" i="35"/>
  <c r="H12" i="35"/>
  <c r="G12" i="35"/>
  <c r="F12" i="35"/>
  <c r="E12" i="35"/>
  <c r="A3" i="35"/>
  <c r="A6" i="3"/>
  <c r="D70" i="18"/>
  <c r="G70" i="18" s="1"/>
  <c r="G68" i="18"/>
  <c r="F88" i="18"/>
  <c r="F89" i="18"/>
  <c r="F90" i="18"/>
  <c r="F92" i="18"/>
  <c r="F93" i="18"/>
  <c r="F94" i="18"/>
  <c r="F95" i="18"/>
  <c r="F96" i="18"/>
  <c r="F97" i="18"/>
  <c r="F98" i="18"/>
  <c r="F99" i="18"/>
  <c r="F100" i="18"/>
  <c r="F102" i="18"/>
  <c r="F103" i="18"/>
  <c r="F104" i="18"/>
  <c r="F105" i="18"/>
  <c r="F106" i="18"/>
  <c r="F107" i="18"/>
  <c r="F109" i="18"/>
  <c r="F110" i="18"/>
  <c r="A33" i="34"/>
  <c r="H5" i="34"/>
  <c r="A10" i="34"/>
  <c r="A9" i="34"/>
  <c r="F85" i="18"/>
  <c r="F80" i="18"/>
  <c r="D71" i="18"/>
  <c r="G71" i="18" s="1"/>
  <c r="D79" i="18"/>
  <c r="G79" i="18" s="1"/>
  <c r="D78" i="18"/>
  <c r="H78" i="18" s="1"/>
  <c r="F74" i="18"/>
  <c r="F62" i="18"/>
  <c r="G61" i="18"/>
  <c r="G60" i="18"/>
  <c r="F58" i="18"/>
  <c r="F31" i="18"/>
  <c r="D64" i="18"/>
  <c r="H64" i="18" s="1"/>
  <c r="F54" i="18"/>
  <c r="F47" i="18"/>
  <c r="F44" i="18"/>
  <c r="F41" i="18"/>
  <c r="D20" i="18"/>
  <c r="D106" i="18"/>
  <c r="F24" i="18"/>
  <c r="L13" i="3" l="1"/>
  <c r="H20" i="36"/>
  <c r="H68" i="36" s="1"/>
  <c r="E35" i="3"/>
  <c r="K13" i="3"/>
  <c r="G20" i="35"/>
  <c r="F20" i="36"/>
  <c r="F68" i="36" s="1"/>
  <c r="M13" i="3"/>
  <c r="I13" i="3"/>
  <c r="F79" i="30"/>
  <c r="F16" i="19"/>
  <c r="F15" i="19" s="1"/>
  <c r="F22" i="19" s="1"/>
  <c r="F25" i="19" s="1"/>
  <c r="E36" i="18" s="1"/>
  <c r="E37" i="18" s="1"/>
  <c r="G20" i="36"/>
  <c r="E98" i="18"/>
  <c r="E58" i="18"/>
  <c r="G68" i="35"/>
  <c r="H13" i="3"/>
  <c r="E88" i="18"/>
  <c r="I20" i="35"/>
  <c r="I68" i="35" s="1"/>
  <c r="E20" i="36"/>
  <c r="E68" i="36" s="1"/>
  <c r="I20" i="36"/>
  <c r="E15" i="18"/>
  <c r="E32" i="18" s="1"/>
  <c r="E20" i="35"/>
  <c r="E68" i="35" s="1"/>
  <c r="F20" i="35"/>
  <c r="F68" i="35" s="1"/>
  <c r="I68" i="36"/>
  <c r="H20" i="35"/>
  <c r="H68" i="35" s="1"/>
  <c r="G68" i="36"/>
  <c r="E15" i="3"/>
  <c r="G106" i="18"/>
  <c r="H68" i="18"/>
  <c r="D103" i="18"/>
  <c r="G103" i="18" s="1"/>
  <c r="F86" i="18"/>
  <c r="D104" i="18"/>
  <c r="G104" i="18" s="1"/>
  <c r="H106" i="18"/>
  <c r="D90" i="18"/>
  <c r="H79" i="18"/>
  <c r="G78" i="18"/>
  <c r="H71" i="18"/>
  <c r="D62" i="18"/>
  <c r="H62" i="18" s="1"/>
  <c r="H61" i="18"/>
  <c r="H70" i="18"/>
  <c r="G64" i="18"/>
  <c r="H60" i="18"/>
  <c r="D14" i="18"/>
  <c r="F14" i="18" s="1"/>
  <c r="F36" i="18" s="1"/>
  <c r="G20" i="18"/>
  <c r="H20" i="18"/>
  <c r="G28" i="18"/>
  <c r="H28" i="18"/>
  <c r="G72" i="18"/>
  <c r="H72" i="18"/>
  <c r="E13" i="3" l="1"/>
  <c r="E91" i="18"/>
  <c r="F15" i="18"/>
  <c r="F32" i="18" s="1"/>
  <c r="E24" i="34" s="1"/>
  <c r="E22" i="34" s="1"/>
  <c r="D52" i="18"/>
  <c r="H103" i="18"/>
  <c r="I24" i="34"/>
  <c r="I22" i="34" s="1"/>
  <c r="I23" i="34" s="1"/>
  <c r="H104" i="18"/>
  <c r="H90" i="18"/>
  <c r="G90" i="18"/>
  <c r="G14" i="18"/>
  <c r="D91" i="18"/>
  <c r="G62" i="18"/>
  <c r="H14" i="18"/>
  <c r="F37" i="18" l="1"/>
  <c r="F75" i="18" s="1"/>
  <c r="H24" i="34" s="1"/>
  <c r="G36" i="18"/>
  <c r="H36" i="18"/>
  <c r="F91" i="18"/>
  <c r="G91" i="18" s="1"/>
  <c r="H52" i="18"/>
  <c r="G52" i="18"/>
  <c r="D107" i="18"/>
  <c r="H22" i="34" l="1"/>
  <c r="H23" i="34" s="1"/>
  <c r="J24" i="34"/>
  <c r="J22" i="34" s="1"/>
  <c r="J23" i="34" s="1"/>
  <c r="H91" i="18"/>
  <c r="F24" i="34"/>
  <c r="F87" i="18"/>
  <c r="G30" i="18"/>
  <c r="G107" i="18"/>
  <c r="H107" i="18"/>
  <c r="H29" i="18"/>
  <c r="G29" i="18"/>
  <c r="F22" i="34" l="1"/>
  <c r="G22" i="34" s="1"/>
  <c r="G24" i="34"/>
  <c r="H30" i="18"/>
  <c r="D23" i="18"/>
  <c r="D109" i="18" s="1"/>
  <c r="G109" i="18" s="1"/>
  <c r="H73" i="18"/>
  <c r="G73" i="18"/>
  <c r="D108" i="18"/>
  <c r="H109" i="18" l="1"/>
  <c r="D105" i="18"/>
  <c r="G105" i="18" s="1"/>
  <c r="H21" i="18"/>
  <c r="G21" i="18"/>
  <c r="H23" i="18"/>
  <c r="G23" i="18"/>
  <c r="H27" i="18"/>
  <c r="G27" i="18"/>
  <c r="H22" i="18"/>
  <c r="G22" i="18"/>
  <c r="H105" i="18" l="1"/>
  <c r="H108" i="18"/>
  <c r="G108" i="18"/>
  <c r="G66" i="18" l="1"/>
  <c r="H66" i="18"/>
  <c r="G67" i="18"/>
  <c r="H67" i="18"/>
  <c r="H56" i="18" l="1"/>
  <c r="D58" i="18"/>
  <c r="G56" i="18"/>
  <c r="D98" i="18"/>
  <c r="G57" i="18"/>
  <c r="H57" i="18"/>
  <c r="D53" i="18"/>
  <c r="D65" i="18"/>
  <c r="D26" i="18"/>
  <c r="D46" i="18"/>
  <c r="D18" i="18"/>
  <c r="D49" i="18" l="1"/>
  <c r="H49" i="18" s="1"/>
  <c r="H46" i="18"/>
  <c r="D47" i="18"/>
  <c r="D93" i="18"/>
  <c r="G46" i="18"/>
  <c r="G18" i="18"/>
  <c r="H18" i="18"/>
  <c r="G26" i="18"/>
  <c r="D97" i="18"/>
  <c r="H26" i="18"/>
  <c r="D31" i="18"/>
  <c r="D51" i="18"/>
  <c r="G53" i="18"/>
  <c r="H53" i="18"/>
  <c r="H65" i="18"/>
  <c r="G65" i="18"/>
  <c r="D74" i="18"/>
  <c r="H50" i="18"/>
  <c r="G50" i="18"/>
  <c r="D99" i="18"/>
  <c r="H19" i="18"/>
  <c r="G19" i="18"/>
  <c r="H98" i="18"/>
  <c r="G98" i="18"/>
  <c r="H58" i="18"/>
  <c r="G58" i="18"/>
  <c r="D83" i="18"/>
  <c r="D84" i="18"/>
  <c r="G49" i="18" l="1"/>
  <c r="D54" i="18"/>
  <c r="G54" i="18" s="1"/>
  <c r="G84" i="18"/>
  <c r="H84" i="18"/>
  <c r="H83" i="18"/>
  <c r="G83" i="18"/>
  <c r="G51" i="18"/>
  <c r="D96" i="18"/>
  <c r="H51" i="18"/>
  <c r="G31" i="18"/>
  <c r="H31" i="18"/>
  <c r="G97" i="18"/>
  <c r="H97" i="18"/>
  <c r="G93" i="18"/>
  <c r="H93" i="18"/>
  <c r="D95" i="18"/>
  <c r="D110" i="18"/>
  <c r="G99" i="18"/>
  <c r="H99" i="18"/>
  <c r="H74" i="18"/>
  <c r="G74" i="18"/>
  <c r="H47" i="18"/>
  <c r="G47" i="18"/>
  <c r="D43" i="18"/>
  <c r="G42" i="20"/>
  <c r="G41" i="20"/>
  <c r="G40" i="20"/>
  <c r="G39" i="20"/>
  <c r="G38" i="20"/>
  <c r="I37" i="20"/>
  <c r="I43" i="20" s="1"/>
  <c r="H37" i="20"/>
  <c r="H43" i="20" s="1"/>
  <c r="G36" i="20"/>
  <c r="G35" i="20"/>
  <c r="G34" i="20"/>
  <c r="G33" i="20"/>
  <c r="G32" i="20"/>
  <c r="G27" i="20"/>
  <c r="G28" i="20"/>
  <c r="I25" i="20"/>
  <c r="I31" i="20" s="1"/>
  <c r="H25" i="20"/>
  <c r="H31" i="20" s="1"/>
  <c r="I19" i="20"/>
  <c r="H19" i="20"/>
  <c r="H13" i="20"/>
  <c r="I13" i="20"/>
  <c r="G9" i="20"/>
  <c r="G10" i="20"/>
  <c r="G11" i="20"/>
  <c r="G12" i="20"/>
  <c r="G14" i="20"/>
  <c r="G15" i="20"/>
  <c r="G16" i="20"/>
  <c r="G17" i="20"/>
  <c r="G18" i="20"/>
  <c r="G20" i="20"/>
  <c r="G21" i="20"/>
  <c r="G22" i="20"/>
  <c r="G23" i="20"/>
  <c r="G24" i="20"/>
  <c r="G26" i="20"/>
  <c r="G29" i="20"/>
  <c r="I39" i="2"/>
  <c r="I37" i="2" s="1"/>
  <c r="G39" i="2"/>
  <c r="G37" i="2" s="1"/>
  <c r="D17" i="18"/>
  <c r="H54" i="18" l="1"/>
  <c r="I44" i="20"/>
  <c r="D44" i="18"/>
  <c r="G43" i="18"/>
  <c r="H43" i="18"/>
  <c r="D92" i="18"/>
  <c r="G110" i="18"/>
  <c r="H110" i="18"/>
  <c r="D85" i="18"/>
  <c r="H82" i="18"/>
  <c r="G82" i="18"/>
  <c r="D94" i="18"/>
  <c r="H44" i="20"/>
  <c r="G95" i="18"/>
  <c r="H95" i="18"/>
  <c r="H96" i="18"/>
  <c r="G96" i="18"/>
  <c r="D24" i="18"/>
  <c r="G37" i="20"/>
  <c r="G43" i="20" s="1"/>
  <c r="G19" i="20"/>
  <c r="G25" i="20"/>
  <c r="D77" i="18"/>
  <c r="H77" i="18" l="1"/>
  <c r="D102" i="18"/>
  <c r="G77" i="18"/>
  <c r="D80" i="18"/>
  <c r="H85" i="18"/>
  <c r="G85" i="18"/>
  <c r="H44" i="18"/>
  <c r="G44" i="18"/>
  <c r="H94" i="18"/>
  <c r="G94" i="18"/>
  <c r="H92" i="18"/>
  <c r="G92" i="18"/>
  <c r="H24" i="18"/>
  <c r="G24" i="18"/>
  <c r="D86" i="18" l="1"/>
  <c r="H80" i="18"/>
  <c r="G80" i="18"/>
  <c r="G102" i="18"/>
  <c r="H102" i="18"/>
  <c r="F13" i="22"/>
  <c r="D40" i="18" s="1"/>
  <c r="G13" i="22"/>
  <c r="E40" i="18" s="1"/>
  <c r="E10" i="22"/>
  <c r="E11" i="22"/>
  <c r="E12" i="22"/>
  <c r="G30" i="20"/>
  <c r="G31" i="20" s="1"/>
  <c r="G8" i="20"/>
  <c r="G13" i="20" s="1"/>
  <c r="H17" i="18"/>
  <c r="G17" i="18"/>
  <c r="E100" i="18" l="1"/>
  <c r="E41" i="18"/>
  <c r="E75" i="18" s="1"/>
  <c r="E87" i="18" s="1"/>
  <c r="G86" i="18"/>
  <c r="H86" i="18"/>
  <c r="G40" i="18"/>
  <c r="D100" i="18"/>
  <c r="H40" i="18"/>
  <c r="G44" i="20"/>
  <c r="E13" i="22"/>
  <c r="G100" i="18" l="1"/>
  <c r="H100" i="18"/>
  <c r="D39" i="18"/>
  <c r="H39" i="18" l="1"/>
  <c r="D41" i="18"/>
  <c r="G39" i="18"/>
  <c r="D89" i="18"/>
  <c r="G41" i="18" l="1"/>
  <c r="H41" i="18"/>
  <c r="H89" i="18"/>
  <c r="G89" i="18"/>
  <c r="D15" i="18" l="1"/>
  <c r="H13" i="18"/>
  <c r="G13" i="18"/>
  <c r="G35" i="18" l="1"/>
  <c r="D37" i="18"/>
  <c r="H35" i="18"/>
  <c r="D88" i="18"/>
  <c r="H15" i="18"/>
  <c r="G15" i="18"/>
  <c r="D32" i="18"/>
  <c r="A3" i="9"/>
  <c r="G32" i="18" l="1"/>
  <c r="H32" i="18"/>
  <c r="H88" i="18"/>
  <c r="G88" i="18"/>
  <c r="H37" i="18"/>
  <c r="G37" i="18"/>
  <c r="D75" i="18"/>
  <c r="D23" i="12"/>
  <c r="D22" i="12"/>
  <c r="D20" i="12"/>
  <c r="D19" i="12"/>
  <c r="D18" i="12"/>
  <c r="B21" i="12"/>
  <c r="D87" i="18" l="1"/>
  <c r="G75" i="18"/>
  <c r="H75" i="18"/>
  <c r="D12" i="12"/>
  <c r="D21" i="12" s="1"/>
  <c r="D25" i="12" s="1"/>
  <c r="A8" i="12"/>
  <c r="A6" i="12"/>
  <c r="G87" i="18" l="1"/>
  <c r="H87" i="18"/>
  <c r="C30" i="4"/>
  <c r="C29" i="4" s="1"/>
  <c r="C14" i="4"/>
  <c r="C12" i="4"/>
  <c r="A4" i="4"/>
  <c r="A6" i="4"/>
  <c r="A4" i="1"/>
  <c r="A3" i="2"/>
  <c r="K55" i="9"/>
  <c r="D55" i="9" s="1"/>
  <c r="A4" i="3"/>
  <c r="M31" i="9"/>
  <c r="L31" i="9"/>
  <c r="H31" i="9"/>
  <c r="I31" i="9"/>
  <c r="J31" i="9"/>
  <c r="G31" i="9"/>
  <c r="E31" i="9"/>
  <c r="M17" i="9"/>
  <c r="L17" i="9"/>
  <c r="H17" i="9"/>
  <c r="I17" i="9"/>
  <c r="J17" i="9"/>
  <c r="G17" i="9"/>
  <c r="E17" i="9"/>
  <c r="K13" i="9"/>
  <c r="K14" i="9"/>
  <c r="F13" i="9"/>
  <c r="F14" i="9"/>
  <c r="K40" i="9"/>
  <c r="K41" i="9"/>
  <c r="K42" i="9"/>
  <c r="K43" i="9"/>
  <c r="K44" i="9"/>
  <c r="K45" i="9"/>
  <c r="K46" i="9"/>
  <c r="K47" i="9"/>
  <c r="K48" i="9"/>
  <c r="D48" i="9" s="1"/>
  <c r="K49" i="9"/>
  <c r="D49" i="9" s="1"/>
  <c r="K50" i="9"/>
  <c r="K51" i="9"/>
  <c r="K52" i="9"/>
  <c r="K53" i="9"/>
  <c r="K54" i="9"/>
  <c r="K56" i="9"/>
  <c r="K57" i="9"/>
  <c r="D57" i="9" s="1"/>
  <c r="K58" i="9"/>
  <c r="K59" i="9"/>
  <c r="K60" i="9"/>
  <c r="K61" i="9"/>
  <c r="K62" i="9"/>
  <c r="K63" i="9"/>
  <c r="K64" i="9"/>
  <c r="K65" i="9"/>
  <c r="K66" i="9"/>
  <c r="F67" i="9"/>
  <c r="K67" i="9"/>
  <c r="K39" i="9"/>
  <c r="F39" i="9"/>
  <c r="F15" i="9"/>
  <c r="K15" i="9"/>
  <c r="F16" i="9"/>
  <c r="K16" i="9"/>
  <c r="F18" i="9"/>
  <c r="K18" i="9"/>
  <c r="F19" i="9"/>
  <c r="K19" i="9"/>
  <c r="F20" i="9"/>
  <c r="K20" i="9"/>
  <c r="F21" i="9"/>
  <c r="K21" i="9"/>
  <c r="F22" i="9"/>
  <c r="K22" i="9"/>
  <c r="F23" i="9"/>
  <c r="K23" i="9"/>
  <c r="F24" i="9"/>
  <c r="K24" i="9"/>
  <c r="F25" i="9"/>
  <c r="K25" i="9"/>
  <c r="F26" i="9"/>
  <c r="K26" i="9"/>
  <c r="F27" i="9"/>
  <c r="K27" i="9"/>
  <c r="F28" i="9"/>
  <c r="K28" i="9"/>
  <c r="F29" i="9"/>
  <c r="K29" i="9"/>
  <c r="F30" i="9"/>
  <c r="K30" i="9"/>
  <c r="F32" i="9"/>
  <c r="K32" i="9"/>
  <c r="F33" i="9"/>
  <c r="K33" i="9"/>
  <c r="F34" i="9"/>
  <c r="K34" i="9"/>
  <c r="F35" i="9"/>
  <c r="K35" i="9"/>
  <c r="F36" i="9"/>
  <c r="K36" i="9"/>
  <c r="K11" i="9"/>
  <c r="F11" i="9"/>
  <c r="E64" i="2"/>
  <c r="G64" i="2"/>
  <c r="I64" i="2"/>
  <c r="E61" i="2"/>
  <c r="G61" i="2"/>
  <c r="I61" i="2"/>
  <c r="E51" i="2"/>
  <c r="E49" i="2" s="1"/>
  <c r="G51" i="2"/>
  <c r="G49" i="2" s="1"/>
  <c r="I51" i="2"/>
  <c r="I49" i="2" s="1"/>
  <c r="G35" i="2"/>
  <c r="E30" i="2"/>
  <c r="G30" i="2"/>
  <c r="I30" i="2"/>
  <c r="E26" i="2"/>
  <c r="G26" i="2"/>
  <c r="I26" i="2"/>
  <c r="E21" i="2"/>
  <c r="F21" i="2"/>
  <c r="F20" i="2" s="1"/>
  <c r="G21" i="2"/>
  <c r="I21" i="2"/>
  <c r="E20" i="2" l="1"/>
  <c r="F37" i="9"/>
  <c r="I12" i="9"/>
  <c r="K17" i="9"/>
  <c r="C11" i="4"/>
  <c r="D13" i="9"/>
  <c r="K31" i="9"/>
  <c r="D26" i="9"/>
  <c r="D61" i="9"/>
  <c r="D33" i="9"/>
  <c r="D32" i="9"/>
  <c r="D27" i="9"/>
  <c r="D25" i="9"/>
  <c r="D24" i="9"/>
  <c r="D23" i="9"/>
  <c r="D16" i="9"/>
  <c r="G20" i="2"/>
  <c r="I20" i="2"/>
  <c r="D60" i="9"/>
  <c r="D56" i="9"/>
  <c r="D51" i="9"/>
  <c r="D43" i="9"/>
  <c r="D15" i="9"/>
  <c r="D35" i="9"/>
  <c r="D45" i="9"/>
  <c r="D41" i="9"/>
  <c r="D11" i="9"/>
  <c r="D50" i="9"/>
  <c r="D42" i="9"/>
  <c r="D28" i="9"/>
  <c r="D46" i="9"/>
  <c r="D21" i="9"/>
  <c r="D59" i="9"/>
  <c r="D67" i="9"/>
  <c r="D18" i="9"/>
  <c r="D39" i="9"/>
  <c r="D64" i="9"/>
  <c r="J12" i="9"/>
  <c r="D20" i="9"/>
  <c r="D58" i="9"/>
  <c r="D53" i="9"/>
  <c r="D19" i="9"/>
  <c r="D66" i="9"/>
  <c r="D62" i="9"/>
  <c r="D30" i="9"/>
  <c r="D63" i="9"/>
  <c r="D44" i="9"/>
  <c r="D34" i="9"/>
  <c r="D52" i="9"/>
  <c r="D36" i="9"/>
  <c r="D22" i="9"/>
  <c r="D65" i="9"/>
  <c r="L12" i="9"/>
  <c r="D29" i="9"/>
  <c r="D54" i="9"/>
  <c r="D47" i="9"/>
  <c r="D40" i="9"/>
  <c r="M12" i="9"/>
  <c r="F31" i="9"/>
  <c r="H12" i="9"/>
  <c r="G12" i="9"/>
  <c r="E12" i="9"/>
  <c r="F17" i="9"/>
  <c r="D14" i="9"/>
  <c r="D37" i="9" l="1"/>
  <c r="D17" i="9"/>
  <c r="D31" i="9"/>
  <c r="K12" i="9"/>
  <c r="F12" i="9"/>
  <c r="F68" i="9" s="1"/>
  <c r="D12" i="9" l="1"/>
  <c r="E68" i="9"/>
  <c r="G37" i="9" l="1"/>
  <c r="G68" i="9" s="1"/>
  <c r="H37" i="9"/>
  <c r="H68" i="9" s="1"/>
  <c r="I37" i="9"/>
  <c r="I68" i="9" s="1"/>
  <c r="J37" i="9"/>
  <c r="J68" i="9" s="1"/>
  <c r="M37" i="9"/>
  <c r="M68" i="9" s="1"/>
  <c r="K37" i="9"/>
  <c r="L37" i="9"/>
  <c r="L68" i="9" s="1"/>
  <c r="D68" i="9" l="1"/>
  <c r="K68" i="9"/>
  <c r="E12" i="2"/>
  <c r="F12" i="2"/>
  <c r="F68" i="2" s="1"/>
  <c r="G12" i="2"/>
  <c r="I12" i="2"/>
  <c r="I68" i="2" l="1"/>
  <c r="G68" i="2"/>
  <c r="E68" i="2"/>
</calcChain>
</file>

<file path=xl/sharedStrings.xml><?xml version="1.0" encoding="utf-8"?>
<sst xmlns="http://schemas.openxmlformats.org/spreadsheetml/2006/main" count="2492" uniqueCount="939">
  <si>
    <t>Таблица 1</t>
  </si>
  <si>
    <t>№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</si>
  <si>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</si>
  <si>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</si>
  <si>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</si>
  <si>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</si>
  <si>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</si>
  <si>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</si>
  <si>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</si>
  <si>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</si>
  <si>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</si>
  <si>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</si>
  <si>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</si>
  <si>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</si>
  <si>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</si>
  <si>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</si>
  <si>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</si>
  <si>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</si>
  <si>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</si>
  <si>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</si>
  <si>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</si>
  <si>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Объем финансового обеспечения, руб. (с точностью до двух знаков после запятой — 0,00)</t>
  </si>
  <si>
    <t>всего</t>
  </si>
  <si>
    <t>100</t>
  </si>
  <si>
    <t>х</t>
  </si>
  <si>
    <t>110</t>
  </si>
  <si>
    <t>120</t>
  </si>
  <si>
    <t>130</t>
  </si>
  <si>
    <t>140</t>
  </si>
  <si>
    <t>150</t>
  </si>
  <si>
    <t>прочие доходы</t>
  </si>
  <si>
    <t>160</t>
  </si>
  <si>
    <t>180</t>
  </si>
  <si>
    <t>Выплаты по расходам, всего:</t>
  </si>
  <si>
    <t>200</t>
  </si>
  <si>
    <t>210</t>
  </si>
  <si>
    <t>211</t>
  </si>
  <si>
    <t>220</t>
  </si>
  <si>
    <t>230</t>
  </si>
  <si>
    <t>240</t>
  </si>
  <si>
    <t>250</t>
  </si>
  <si>
    <t>260</t>
  </si>
  <si>
    <t>300</t>
  </si>
  <si>
    <t>310</t>
  </si>
  <si>
    <t>прочие поступления</t>
  </si>
  <si>
    <t>320</t>
  </si>
  <si>
    <t>400</t>
  </si>
  <si>
    <t>410</t>
  </si>
  <si>
    <t>прочие выбытия</t>
  </si>
  <si>
    <t>420</t>
  </si>
  <si>
    <t>500</t>
  </si>
  <si>
    <t>600</t>
  </si>
  <si>
    <t>Код строки</t>
  </si>
  <si>
    <t>Код по бюджетной классификации Российской Федерации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</si>
  <si>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</si>
  <si>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</si>
  <si>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</si>
  <si>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</si>
  <si>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</si>
  <si>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 xml:space="preserve">   в том числе:
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</si>
  <si>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</si>
  <si>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</si>
  <si>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</si>
  <si>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</si>
  <si>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</si>
  <si>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 xml:space="preserve">   в том числе на:
выплаты персоналу всего: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</si>
  <si>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</si>
  <si>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</si>
  <si>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</si>
  <si>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</si>
  <si>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</si>
  <si>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</si>
  <si>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</si>
  <si>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</si>
  <si>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</si>
  <si>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0001</t>
  </si>
  <si>
    <t>2001</t>
  </si>
  <si>
    <t>Выплаты по расходам на закупку товаров, работ, услуг всего:</t>
  </si>
  <si>
    <t>на закупку товаров, работ, услуг по году начала закупки:</t>
  </si>
  <si>
    <t>2018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</si>
  <si>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</si>
  <si>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</si>
  <si>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Таблица 3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</si>
  <si>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</si>
  <si>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</si>
  <si>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</si>
  <si>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</si>
  <si>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</si>
  <si>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</si>
  <si>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</si>
  <si>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</si>
  <si>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</si>
  <si>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</si>
  <si>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</si>
  <si>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</si>
  <si>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УТВЕРЖДАЮ</t>
  </si>
  <si>
    <t>(подпись)</t>
  </si>
  <si>
    <t>(расшифровка подписи)</t>
  </si>
  <si>
    <t>СВЕДЕНИЯ</t>
  </si>
  <si>
    <t>КОДЫ</t>
  </si>
  <si>
    <t>Форма по ОКУД</t>
  </si>
  <si>
    <t>0501016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</si>
  <si>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</si>
  <si>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</si>
  <si>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</si>
  <si>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</si>
  <si>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</si>
  <si>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</si>
  <si>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</si>
  <si>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</si>
  <si>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</si>
  <si>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</si>
  <si>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</si>
  <si>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</si>
  <si>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</si>
  <si>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</si>
  <si>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</si>
  <si>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</si>
  <si>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</si>
  <si>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Планируемые</t>
  </si>
  <si>
    <t>код</t>
  </si>
  <si>
    <t>сумма</t>
  </si>
  <si>
    <t>поступления</t>
  </si>
  <si>
    <t>выплаты</t>
  </si>
  <si>
    <t>Всего</t>
  </si>
  <si>
    <t>Номер страницы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</si>
  <si>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</si>
  <si>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</si>
  <si>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</si>
  <si>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</si>
  <si>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</si>
  <si>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Код субсидии</t>
  </si>
  <si>
    <t>Код объекта ФАИП</t>
  </si>
  <si>
    <t>Суммы возврата дебиторской задолженности прошлых лет</t>
  </si>
  <si>
    <t>Разрешенный к использованию остаток субсидии прошлых лет на начало 2018 г.</t>
  </si>
  <si>
    <t>ОБ ОПЕРАЦИЯХ С ЦЕЛЕВЫМИ СУБСИДИЯМИ, ПРЕДОСТАВЛЕННЫМИ ГОСУДАРСТВЕННОМУ (МУНИЦИПАЛЬНОМУ) УЧРЕЖДЕНИЮ НА 2018 Г.</t>
  </si>
  <si>
    <t>«____» _________________ 2018 г.</t>
  </si>
  <si>
    <t>на « 01 » января 2018 года</t>
  </si>
  <si>
    <t>областной</t>
  </si>
  <si>
    <t>Департамент образования и науки Костромской области</t>
  </si>
  <si>
    <t>Департамент финансов Костромской области</t>
  </si>
  <si>
    <t>073</t>
  </si>
  <si>
    <t>(должность)           (подпись)           (расшифровка подписи)           (телефон)</t>
  </si>
  <si>
    <t>Руководитель                                                                      ____________________</t>
  </si>
  <si>
    <t>Директор департамента образования и науки Костромской области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</si>
  <si>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</si>
  <si>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Руководитель финансово-                                                  ____________________</t>
  </si>
  <si>
    <t xml:space="preserve">                                                                                                                                                                           (подпись)</t>
  </si>
  <si>
    <r>
      <t xml:space="preserve">экономической службы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(подпись)</t>
    </r>
  </si>
  <si>
    <t>УТВЕРЖДАЮ:</t>
  </si>
  <si>
    <t>образования и науки</t>
  </si>
  <si>
    <t>Костромской области</t>
  </si>
  <si>
    <t>(должность)</t>
  </si>
  <si>
    <t>Т.Е. Быстрякова</t>
  </si>
  <si>
    <t>МП</t>
  </si>
  <si>
    <t>План финансово-хозяйственной деятельности государственного учреждения</t>
  </si>
  <si>
    <t>на 2018 финансовый год</t>
  </si>
  <si>
    <t>Наименование учреждения</t>
  </si>
  <si>
    <t>Наименование органа, осуществляющего функции и полномочия учредителя</t>
  </si>
  <si>
    <t>Адрес фактического местонахождения</t>
  </si>
  <si>
    <t>Индентификационный номер налогоплательщика (ИНН)</t>
  </si>
  <si>
    <t>Код причины постановки на учет (КПП)</t>
  </si>
  <si>
    <t>Код по реестру участников бюджетного процесса, а также юридических лиц, не являющихся участниками бюджетного процесса</t>
  </si>
  <si>
    <t>руб.</t>
  </si>
  <si>
    <t>Единицы измерения (по ОКЕИ):</t>
  </si>
  <si>
    <t>Цели деятельности учреждения</t>
  </si>
  <si>
    <t xml:space="preserve">Виды деятельности учреждения, относящиеся к его основным видам деятельности в соответствии с уставом учреждения </t>
  </si>
  <si>
    <t>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</t>
  </si>
  <si>
    <t>Количество объектов недвижимого имущества, закрепленных за учреждением (зданий, строений, помещений)</t>
  </si>
  <si>
    <t>Общая площадь объектов недвижимого имущества, закрепленная за учреждением</t>
  </si>
  <si>
    <t>единиц</t>
  </si>
  <si>
    <t>кв.м</t>
  </si>
  <si>
    <t>площадь недвижимого имущества, переданного в безвозмездное пользование</t>
  </si>
  <si>
    <t>в том числе:   площадь недвижимого имущества, переданного в аренду</t>
  </si>
  <si>
    <t>Сумма, руб.</t>
  </si>
  <si>
    <t>Руководитель</t>
  </si>
  <si>
    <t>(телефон)</t>
  </si>
  <si>
    <t>Директор департамента</t>
  </si>
  <si>
    <t>КБК</t>
  </si>
  <si>
    <t>Всего, руб.</t>
  </si>
  <si>
    <t>073.20.0100</t>
  </si>
  <si>
    <t>073.20.0300</t>
  </si>
  <si>
    <t>073.20.0400</t>
  </si>
  <si>
    <t>073.20.0507</t>
  </si>
  <si>
    <t>КОСГУ</t>
  </si>
  <si>
    <t>заработная плата</t>
  </si>
  <si>
    <t>211.00</t>
  </si>
  <si>
    <t>прочие выплаты</t>
  </si>
  <si>
    <t>212.00</t>
  </si>
  <si>
    <t>начисления на выплаты по оплате труда</t>
  </si>
  <si>
    <t>213.00</t>
  </si>
  <si>
    <t>услуги связи</t>
  </si>
  <si>
    <t>221.00</t>
  </si>
  <si>
    <t>транспортные услуги</t>
  </si>
  <si>
    <t>222.00</t>
  </si>
  <si>
    <t>оплата потребления тепловой энергии</t>
  </si>
  <si>
    <t>223.10</t>
  </si>
  <si>
    <t>оплата потребления электрической энергии</t>
  </si>
  <si>
    <t>223.20</t>
  </si>
  <si>
    <t>223.30</t>
  </si>
  <si>
    <t>арендная плата за пользование имуществом</t>
  </si>
  <si>
    <t>224.00</t>
  </si>
  <si>
    <t>работы, услуги по содержанию имущества</t>
  </si>
  <si>
    <t>225.00</t>
  </si>
  <si>
    <t>прочие работы, услуги</t>
  </si>
  <si>
    <t>226.00</t>
  </si>
  <si>
    <t>262.10</t>
  </si>
  <si>
    <t>прочие расходы</t>
  </si>
  <si>
    <t>290.20</t>
  </si>
  <si>
    <t>увеличение стоимости основных средств</t>
  </si>
  <si>
    <t>310.10</t>
  </si>
  <si>
    <t>увеличение стоимости материальных запасов: приобретение медикаментов</t>
  </si>
  <si>
    <t>340.10</t>
  </si>
  <si>
    <t>увеличение стоимости материальных запасов: продукты питания</t>
  </si>
  <si>
    <t>340.20</t>
  </si>
  <si>
    <t>увеличение стоимости материальных запасов: приобретение ГСМ</t>
  </si>
  <si>
    <t>340.30</t>
  </si>
  <si>
    <t>увеличение стоимости материальных запасов: приобретение прочих материальных запасов</t>
  </si>
  <si>
    <t>340.40</t>
  </si>
  <si>
    <t>увеличение стоимости материальных запасов: приобретение котельно-печного топлива</t>
  </si>
  <si>
    <t>340.50</t>
  </si>
  <si>
    <t>реализация продукции и услуг столовой</t>
  </si>
  <si>
    <t>073.20.0200</t>
  </si>
  <si>
    <t>073.20.0201</t>
  </si>
  <si>
    <t>Обеспечение реализации ведомственной целевой программы "Развитие профессионального образования Костромской области на 2017-2019 годы"</t>
  </si>
  <si>
    <t>073.20.0509</t>
  </si>
  <si>
    <t>Обеспечение реализации Государственной программы РФ "Доступная среда" на 2011-2020 годы</t>
  </si>
  <si>
    <t>073.20.0600</t>
  </si>
  <si>
    <t>073.20.0601</t>
  </si>
  <si>
    <t>КВР</t>
  </si>
  <si>
    <t>оплата водоснабжения, водоотведения помещений</t>
  </si>
  <si>
    <t>пособия по социальной помощи населению (при сокращении)</t>
  </si>
  <si>
    <t>пособия по социальной помощи населению (стипендии)</t>
  </si>
  <si>
    <t>510</t>
  </si>
  <si>
    <t>предоставление платных образовательных услуг</t>
  </si>
  <si>
    <t>предоставление платных дополнительных образовательных услуг</t>
  </si>
  <si>
    <t>учебно-производственная деятельность мастерских</t>
  </si>
  <si>
    <t>реализация услуг и продукции, изготовленной обучающимися</t>
  </si>
  <si>
    <t>предоставление услуг проживания и пользования коммунальными и хозяйственными услугами в общежитиях</t>
  </si>
  <si>
    <t>средства от арендаторов на возмещение эксплуатационных, коммунальных и хозяйственных услуг</t>
  </si>
  <si>
    <t>Налог на прибыль и НДС с доходов от собственности</t>
  </si>
  <si>
    <t>Прочие поступления от денежных взысканий (штрафов) и иных сумм в возмещение вреда (ОСАГО, КАСКО)</t>
  </si>
  <si>
    <t>Прочие доходы</t>
  </si>
  <si>
    <t>Доходы от продажи товаров</t>
  </si>
  <si>
    <t>Доходы от продажи имущества, находящихся в собственности субъектов Российской Федерации</t>
  </si>
  <si>
    <t>добровольные пожертвования</t>
  </si>
  <si>
    <t>Доходы от собственности (арендная плата от сдачи имущества в аренду)</t>
  </si>
  <si>
    <t>гранты, премии</t>
  </si>
  <si>
    <t>Показатели по поступлениям и выплатам учреждения</t>
  </si>
  <si>
    <t>111</t>
  </si>
  <si>
    <t>112</t>
  </si>
  <si>
    <t>113</t>
  </si>
  <si>
    <t>119</t>
  </si>
  <si>
    <t>иные выплаты персоналу учреждений, за исключением фонда оплаты труда</t>
  </si>
  <si>
    <t>из них:
фонд оплаты труда</t>
  </si>
  <si>
    <t>212</t>
  </si>
  <si>
    <t>213</t>
  </si>
  <si>
    <t>214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</si>
  <si>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</si>
  <si>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</si>
  <si>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социальное обеспечение и иные выплаты населению, всего</t>
  </si>
  <si>
    <t>221</t>
  </si>
  <si>
    <t>222</t>
  </si>
  <si>
    <t>223</t>
  </si>
  <si>
    <t>из них:
пособия, компенсации и иные социальные выплаты гражданам, кроме публичных нормативных обязательств</t>
  </si>
  <si>
    <t>321</t>
  </si>
  <si>
    <t>стипендии</t>
  </si>
  <si>
    <t>340</t>
  </si>
  <si>
    <t>иные выплаты населению</t>
  </si>
  <si>
    <t>360</t>
  </si>
  <si>
    <t>831</t>
  </si>
  <si>
    <t>иные бюджетные ассигнования, всего</t>
  </si>
  <si>
    <t>800</t>
  </si>
  <si>
    <t>851</t>
  </si>
  <si>
    <t>852</t>
  </si>
  <si>
    <t>из них:
исполнение судебных актов Российской Федерации и мировых соглашений по возмещению причиненного вреда</t>
  </si>
  <si>
    <t>853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</si>
  <si>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</si>
  <si>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</si>
  <si>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</si>
  <si>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капитальные вложения в объекты государственной (муниципальной) собственности</t>
  </si>
  <si>
    <t>241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</si>
  <si>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</si>
  <si>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</si>
  <si>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t>закупка товаров, работ, услуг в целях капитального ремонта государственного (муниципального) имущества</t>
  </si>
  <si>
    <t>243</t>
  </si>
  <si>
    <t>261</t>
  </si>
  <si>
    <t>262</t>
  </si>
  <si>
    <t>прочая закупка товаров, работ и услуг для обеспечения государственных (муниципальных) нужд</t>
  </si>
  <si>
    <t>244</t>
  </si>
  <si>
    <t>коммунальные услуги</t>
  </si>
  <si>
    <t>из них:
услуги связи</t>
  </si>
  <si>
    <t>увеличение стоимости материальных запасов</t>
  </si>
  <si>
    <t>из них:
увеличение остатков средств</t>
  </si>
  <si>
    <t>из них:
уменьшение остатков средств</t>
  </si>
  <si>
    <t>610</t>
  </si>
  <si>
    <t>Руководитель финансово-экономической службы</t>
  </si>
  <si>
    <t>Ответственный исполнитель</t>
  </si>
  <si>
    <t>(рсшифровка подписи)</t>
  </si>
  <si>
    <t>выбытие со счетов бюджетов</t>
  </si>
  <si>
    <t>073...610</t>
  </si>
  <si>
    <t>Субсидия на погашение кредиторской задолженности, источником образования которой являются средства областного бюджета</t>
  </si>
  <si>
    <t>Субсидия на возмещение судебных издержек, связанных с невыполнением обязательств учредителей в рамках соглашений с областными учреждениями</t>
  </si>
  <si>
    <t>Субсидия на проведение капитального и текущего ремонта</t>
  </si>
  <si>
    <t>Субсидия на выплаты стипендий и других денежных выплат в пределах стипендиального фонда обучающимся в профессиональных образовательных организациях</t>
  </si>
  <si>
    <t>Субсидия на выплаты денежных компенсаций стоимости льготного питания обучающимся в профессиональных образовательных организациях, кроме детей-сирот и детей, оставшихся без попечения родителей, лиц из числа детей-сирот и детей, оставшихся без попечения родителей, обучающихся по образовательным программам среднего профессионального образования, основным образовательным программам профессионального обучения, а также обучающихся, потерявших в период обучения обоих или единственного родителя</t>
  </si>
  <si>
    <t>Субсидия на уплату штрафов, пеней за неуплату налогов и сборов, неоплату поставленных товаров, выполненных работ, оказанных услуг, связанных с невыполнением обязательств учредителя по погашению кредиторской задолженности в рамках соглашений о порядке и условиях предоставления субсидии на цели, не связанные с выполнением государственного задания</t>
  </si>
  <si>
    <t>Субсидия на приобретение основных средств, не учитываемых в нормативных затратах на оказание государственных услуг</t>
  </si>
  <si>
    <t>073.20.1800</t>
  </si>
  <si>
    <t>073 07 04 0000000000 244 221.00</t>
  </si>
  <si>
    <t>073 07 04 0000000000 831 290.20</t>
  </si>
  <si>
    <t>073 07 04 0000000000 243 225.00</t>
  </si>
  <si>
    <t>073 07 04 0000000000 243 226.00</t>
  </si>
  <si>
    <t>073 07 04 0000000000 244 225.00</t>
  </si>
  <si>
    <t>073 07 04 0000000000 244 226.00</t>
  </si>
  <si>
    <t>073 07 04 0000000000 244 310.10</t>
  </si>
  <si>
    <t>073 07 04 0000000000 340 290.10</t>
  </si>
  <si>
    <t>073 07 04 0000000000 360 290.20</t>
  </si>
  <si>
    <t>073 00000000000000 180</t>
  </si>
  <si>
    <t>073 07 04 0000000000 244 223.10</t>
  </si>
  <si>
    <t>073 07 04 0000000000 244 223.20</t>
  </si>
  <si>
    <t>073 07 04 0000000000 244 223.30</t>
  </si>
  <si>
    <t>073 07 04 0000000000 244 340.10</t>
  </si>
  <si>
    <t>073 07 04 0000000000 244 340.20</t>
  </si>
  <si>
    <t>073 07 04 0000000000 244 340.30</t>
  </si>
  <si>
    <t>073 07 04 0000000000 244 340.40</t>
  </si>
  <si>
    <t>073 07 04 0000000000 244 340.50</t>
  </si>
  <si>
    <t>383</t>
  </si>
  <si>
    <t>073 01050201020000 510</t>
  </si>
  <si>
    <t>Поступление на счета бюджетов</t>
  </si>
  <si>
    <t>Показатели по поступлениям и выплатам на 2018 финансовый год</t>
  </si>
  <si>
    <t>по лицевым  счетам, открытым в органах, осуществляющих ведение лицевых счетов учреждений</t>
  </si>
  <si>
    <t>Таблица 5</t>
  </si>
  <si>
    <t>Доходы от иной приносящей доход деятельности (ТС 10.02.00)</t>
  </si>
  <si>
    <t xml:space="preserve">Целевые субсидии (ТС 20.00.00) </t>
  </si>
  <si>
    <t>Субсидия на финансовое обеспечение выполнения государственного задания
(ТС 10.01.03)</t>
  </si>
  <si>
    <t>гранты,
премии,
пожертвования
(ТС 10.02.01)</t>
  </si>
  <si>
    <t>арендная плата от сдачи имущества в аренду
(ТС 10.02.02)</t>
  </si>
  <si>
    <t>платные услуги
(ТС 10.02.03)</t>
  </si>
  <si>
    <t>(ТС 10.02.04)</t>
  </si>
  <si>
    <t>иные субсидии из федерального бюджета
(ТС 20.01.01)</t>
  </si>
  <si>
    <t>иные субсидии из областного бюджета
(ТС 20.01.03)</t>
  </si>
  <si>
    <t>073…510</t>
  </si>
  <si>
    <t>073…120</t>
  </si>
  <si>
    <r>
      <t xml:space="preserve">Поступления от иной приносящей доход деятельности
</t>
    </r>
    <r>
      <rPr>
        <b/>
        <i/>
        <sz val="12"/>
        <rFont val="Times New Roman"/>
        <family val="1"/>
        <charset val="204"/>
      </rPr>
      <t>за минусом налогов, невключаемых в состав расходов</t>
    </r>
  </si>
  <si>
    <t>073…180</t>
  </si>
  <si>
    <t>073…130</t>
  </si>
  <si>
    <t>073…140</t>
  </si>
  <si>
    <t>073…410</t>
  </si>
  <si>
    <t>073…440</t>
  </si>
  <si>
    <t>Субсидии на выполнение государственного задания</t>
  </si>
  <si>
    <t>Иные субсидии</t>
  </si>
  <si>
    <t xml:space="preserve">Руководитель </t>
  </si>
  <si>
    <t>Показатели выплат по расходам на закупку товаров, работ, услуг учреждения</t>
  </si>
  <si>
    <t xml:space="preserve">в том числе: </t>
  </si>
  <si>
    <t>на оплату контрактов заключенных до начала очередного финансового года:</t>
  </si>
  <si>
    <t>оплата водоснабжения помещений</t>
  </si>
  <si>
    <t>арендная плата за пользование имушеством</t>
  </si>
  <si>
    <t>работы,услуги по содержанию имущества</t>
  </si>
  <si>
    <t>приобретение основных средств</t>
  </si>
  <si>
    <t>медикаменты, перевязочные средства и прочие лечебные расходы</t>
  </si>
  <si>
    <t>продукты питания</t>
  </si>
  <si>
    <t>оплата горюче-смазочных материалов</t>
  </si>
  <si>
    <t>прочее увеличение стоимости материальных запасов</t>
  </si>
  <si>
    <t>приобретение котельно-печного топлива</t>
  </si>
  <si>
    <t>Год
начала
закупки</t>
  </si>
  <si>
    <t>Код строки
/
КВР</t>
  </si>
  <si>
    <t>Показатели финансового состояния учреждения</t>
  </si>
  <si>
    <t>Сведения о средствах, поступающих во временное распоряжение учреждения</t>
  </si>
  <si>
    <t>Сумма (руб., с точностью до двух знаков после запятой — 0,00)</t>
  </si>
  <si>
    <t>Обеспечение контрактов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</si>
  <si>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</t>
  </si>
  <si>
    <t>субсидии на финансовое обеспечение выполнения государственного задания из бюджета субъекта Российской Федерации</t>
  </si>
  <si>
    <t>Примечание</t>
  </si>
  <si>
    <t>Компенсация детям-сиротам на культурно-массовую работу, приобретение хозяйственного инвентаря, предметов личной гигиены</t>
  </si>
  <si>
    <t>Потребность в средствах на год, руб.</t>
  </si>
  <si>
    <t>Прогнозное количество детей-сирот и опекаемых на 01.01.2018 г., всего, чел.</t>
  </si>
  <si>
    <t>Количество выплат в год</t>
  </si>
  <si>
    <t>Таблица 4.1</t>
  </si>
  <si>
    <t>Норматив по приказу департамента образования и науки Костромской области
на 1 человека, руб.</t>
  </si>
  <si>
    <t>Компенсация детям-сиротам на проезд в городском, пригородном транспорте</t>
  </si>
  <si>
    <t>Ежегодное пособие на приобретение учебной литературы и письменных принадлежностей</t>
  </si>
  <si>
    <t>при выпуске</t>
  </si>
  <si>
    <t>Компенсация на проезд один раз в год к месту жительства и обратно к месту учебы</t>
  </si>
  <si>
    <t>при обращении</t>
  </si>
  <si>
    <t>Итого:</t>
  </si>
  <si>
    <t>дети-сироты, чел.</t>
  </si>
  <si>
    <t>опекаемые, чел.</t>
  </si>
  <si>
    <t>предполагаемый выпуск, чел.</t>
  </si>
  <si>
    <t>Периодич-ность</t>
  </si>
  <si>
    <t>Потребность в средствах на обеспечения гарантий по социальной поддержке детей-сирот
и детей, оставшихся без попечения родителей, лиц из числа детей-сирот
и детей, оставшихся без попечения родителей</t>
  </si>
  <si>
    <t>в том числе</t>
  </si>
  <si>
    <t>малообеспеченные</t>
  </si>
  <si>
    <t>Субсидия на финансовое обеспечение выполнения государственного задания, предусмотренная планом ФХД на 20__ финансовый год, руб.</t>
  </si>
  <si>
    <t>Отклонение</t>
  </si>
  <si>
    <t>1. Расчеты (обоснования) выплат персоналу (строка 210)</t>
  </si>
  <si>
    <t>Источник финансового обеспечения</t>
  </si>
  <si>
    <t>Должность,
группа должностей</t>
  </si>
  <si>
    <t>Приложение № 1</t>
  </si>
  <si>
    <t>Расчеты (обоснования) к плану финансово-хозяйственной деятельности</t>
  </si>
  <si>
    <t>073.20.1300</t>
  </si>
  <si>
    <t>средства областного бюджета</t>
  </si>
  <si>
    <t>средства от иной приносящей доход деятельности</t>
  </si>
  <si>
    <t>Штатная численность,
единиц</t>
  </si>
  <si>
    <t>Занятые ставки,
единиц</t>
  </si>
  <si>
    <t>Средне-списочная численность,
чел.</t>
  </si>
  <si>
    <t>Фонд оплаты труда в год,
руб.</t>
  </si>
  <si>
    <t>мастера производственного обучения</t>
  </si>
  <si>
    <t>руководитель организации</t>
  </si>
  <si>
    <t>заместители руководителя, руководители структурных подразделений (кроме врачей - руководителей структурных подразделений, заведующих учебной частью образовательных организаций, реализующих программы общего образования) и их заместители</t>
  </si>
  <si>
    <t>педагогические работники и заведующие учебной частью образовательных организаций, реализующие программы общего образования</t>
  </si>
  <si>
    <t>из них: учителя</t>
  </si>
  <si>
    <t>педагогические работники образовательных организаций, реализующие программы дополнительного образования детей</t>
  </si>
  <si>
    <t>педагогические работники образовательных организаций среднего профессионального образования, реализующие образовательные программы подготовки специалистов среднего звена</t>
  </si>
  <si>
    <t>из них: преподаватели</t>
  </si>
  <si>
    <t>педагогические работники образовательных организаций, реализующие программы дополнительного профессионального образования, осуществляющие подготовку (повышение квалификации) специалистов, имеющих среднее профессиональное образование</t>
  </si>
  <si>
    <t>профессорско-преподавательский состав образовательных организаций, реализующий программы дополнительного профессионального образования, осуществляющий подготовку (повышение квалификации) специалистов, имеющих  высшее образование</t>
  </si>
  <si>
    <t>врачи (кроме зубных), включая врачей - руководителей структурных подразделений</t>
  </si>
  <si>
    <t>средний медицинский (фармацевтический) персонал (персонал, обеспечивающий условия для предоставления медицинских услуг)</t>
  </si>
  <si>
    <t>работники культуры</t>
  </si>
  <si>
    <t>прочий персонал</t>
  </si>
  <si>
    <t>младший медицинский персонал (персонал, обеспечивающий условия для предоставления медицинских услуг)</t>
  </si>
  <si>
    <t>3.1</t>
  </si>
  <si>
    <t>3.2</t>
  </si>
  <si>
    <t>4</t>
  </si>
  <si>
    <t>4.1</t>
  </si>
  <si>
    <t>4.2</t>
  </si>
  <si>
    <t>5</t>
  </si>
  <si>
    <t>5.1</t>
  </si>
  <si>
    <t>6</t>
  </si>
  <si>
    <t>7</t>
  </si>
  <si>
    <t>8</t>
  </si>
  <si>
    <t>9</t>
  </si>
  <si>
    <t>10</t>
  </si>
  <si>
    <t>11</t>
  </si>
  <si>
    <t>СПРАВОЧНО:</t>
  </si>
  <si>
    <t>группы работников, которые не принимают непосредственного участия в оказании (выполнении) государственной услуги (работы) (Nфотауп)</t>
  </si>
  <si>
    <t>группы работников, непосредственно оказывающие государственную услугу (выполняющие работу) (Niфотп)</t>
  </si>
  <si>
    <t>ГОРОД</t>
  </si>
  <si>
    <t>СЕЛО**</t>
  </si>
  <si>
    <t>Очная форма обучения</t>
  </si>
  <si>
    <t>Очно-заочная, заочная форма обучения, экстернат</t>
  </si>
  <si>
    <t>обычные обучающиеся</t>
  </si>
  <si>
    <t>дети-сироты и дети, оставшиеся без попечения родителей, лица из числа детей-сирот и детей, оставшихся без попечения родителей</t>
  </si>
  <si>
    <t>дети-инвалиды</t>
  </si>
  <si>
    <t>обучающиеся с ОВЗ</t>
  </si>
  <si>
    <t>СПРАВОЧНО НАЛИЧИЕ:</t>
  </si>
  <si>
    <t>Наименование объекта</t>
  </si>
  <si>
    <t>Кол-во, ед</t>
  </si>
  <si>
    <t>многофункциональный центр</t>
  </si>
  <si>
    <t>сертификационная площадка (если она не состоит в составе многофункционального центра)</t>
  </si>
  <si>
    <t>базовый центр инклюзивного образования инвалидов</t>
  </si>
  <si>
    <t>ресурсный центр</t>
  </si>
  <si>
    <t>специализированный центр компетенций</t>
  </si>
  <si>
    <t>центр тестирования ГТО</t>
  </si>
  <si>
    <t>учебный центр</t>
  </si>
  <si>
    <t>прочие инновационные структурные подразделения (расшифровать)</t>
  </si>
  <si>
    <t>столовая</t>
  </si>
  <si>
    <t>общежитие</t>
  </si>
  <si>
    <t>котельная</t>
  </si>
  <si>
    <t>** гр. "СЕЛО" вносятся обучающиеся в учреждениях (филиалах учреждений), располагающихся в сельских населенных пунктах</t>
  </si>
  <si>
    <t>ПЛАНИРУЕМЫЙ ПЕРЕХОДЯЩИЙ КОНТИНГЕНТ ПО СОСТОЯНИЮ НА 1 ЯНВАРЯ 2018 ГОДА ДЛЯ РАСЧЕТА ПРОЕКТНОГО ФОНДА ОПЛАТЫ ТРУДА
РАБОТНИКОВ ОБРАЗОВАТЕЛЬНОГО УЧРЕЖДЕНИЯ НА 2018 ГОД</t>
  </si>
  <si>
    <t>планируемый контингент обучающихся на 01.01.2018 г., чел.</t>
  </si>
  <si>
    <t>Программы подготовки квалифицированных рабочих (служащих)</t>
  </si>
  <si>
    <t>Программы профессионального обучения</t>
  </si>
  <si>
    <t>Программы подготовки специалистов среднего звена</t>
  </si>
  <si>
    <r>
      <t xml:space="preserve">* наименование профессии, специальности, программы указывается </t>
    </r>
    <r>
      <rPr>
        <b/>
        <sz val="14"/>
        <color indexed="10"/>
        <rFont val="Times New Roman"/>
        <family val="1"/>
        <charset val="204"/>
      </rPr>
      <t>строго</t>
    </r>
    <r>
      <rPr>
        <b/>
        <sz val="14"/>
        <rFont val="Times New Roman"/>
        <family val="1"/>
        <charset val="204"/>
      </rPr>
      <t xml:space="preserve"> в соответствии с лицензией, выданной учреждению на ведение образовательной деятельности, </t>
    </r>
    <r>
      <rPr>
        <b/>
        <sz val="14"/>
        <color indexed="10"/>
        <rFont val="Times New Roman"/>
        <family val="1"/>
        <charset val="204"/>
      </rPr>
      <t xml:space="preserve">без сокращений </t>
    </r>
    <r>
      <rPr>
        <b/>
        <sz val="14"/>
        <rFont val="Times New Roman"/>
        <family val="1"/>
        <charset val="204"/>
      </rPr>
      <t xml:space="preserve">(в противном случае контингент будет не засчитан) </t>
    </r>
  </si>
  <si>
    <t>Наименование профессии,
специальности,
квалификации*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</si>
  <si>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</si>
  <si>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</si>
  <si>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</si>
  <si>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</si>
  <si>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</si>
  <si>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3×гр. 4×гр.5)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</si>
  <si>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</si>
  <si>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</si>
  <si>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</si>
  <si>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</si>
  <si>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Пособие по уходу за ребенком до 3-х лет</t>
  </si>
  <si>
    <t>Суточные</t>
  </si>
  <si>
    <t>Транспортные расходы</t>
  </si>
  <si>
    <t>Расходы по проживанию</t>
  </si>
  <si>
    <t>Наименование статьи расходов</t>
  </si>
  <si>
    <t>1</t>
  </si>
  <si>
    <t>2</t>
  </si>
  <si>
    <t>3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</si>
  <si>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</si>
  <si>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</si>
  <si>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</si>
  <si>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№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</si>
  <si>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</si>
  <si>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</si>
  <si>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
 руб.</t>
  </si>
  <si>
    <t>Страховые взносы в Пенсионный фонд Российской Федерации, всего</t>
  </si>
  <si>
    <t>по ставке 10,0 %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</si>
  <si>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</si>
  <si>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</si>
  <si>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Размер одной выплаты, руб.</t>
  </si>
  <si>
    <t>Налоговая база, руб.</t>
  </si>
  <si>
    <t>Ставка налога, %</t>
  </si>
  <si>
    <t>Количество номеров</t>
  </si>
  <si>
    <t>Количество платежей в год</t>
  </si>
  <si>
    <t>Стоимость за единицу,
 руб.</t>
  </si>
  <si>
    <t>Количество услуг перевозки</t>
  </si>
  <si>
    <t>Цена услуги перевозки,
руб.</t>
  </si>
  <si>
    <t>Индексация,
%</t>
  </si>
  <si>
    <t>Количество</t>
  </si>
  <si>
    <t>Ставка арендной платы</t>
  </si>
  <si>
    <t>Стоимость с учетом НДС,
руб.</t>
  </si>
  <si>
    <t>Объект</t>
  </si>
  <si>
    <t>Количество работ (услуг)</t>
  </si>
  <si>
    <t>Стоимость работ (услуг),
руб.</t>
  </si>
  <si>
    <t>Средняя стоимость, руб.</t>
  </si>
  <si>
    <t>в том числе:
по ставке 22,0 %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</si>
  <si>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</si>
  <si>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</si>
  <si>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в том числе:
обязательное социальное страхование на случай временной нетрудоспособности и в связи с материнством по ставке 2,9 %</t>
  </si>
  <si>
    <t>с применением ставки взносов в Фонд социального страхования Российской Федерации по ставке 0,0 %</t>
  </si>
  <si>
    <t>обязательное социальное страхование от несчастных случаев на производстве и профессиональных заболеваний по ставке 0,2 %</t>
  </si>
  <si>
    <t>обязательное социальное страхование от несчастных случаев на производстве и профессиональных заболеваний по ставке 0,_ %*</t>
  </si>
  <si>
    <t>Страховые взносы в Федеральный фонд обязательного медицинского страхования, всего (по ставке 5,1 %)</t>
  </si>
  <si>
    <t>1.1</t>
  </si>
  <si>
    <t>1.2</t>
  </si>
  <si>
    <t>1.3</t>
  </si>
  <si>
    <t>2.1</t>
  </si>
  <si>
    <t>2.2</t>
  </si>
  <si>
    <t>2.3</t>
  </si>
  <si>
    <t>2.4</t>
  </si>
  <si>
    <t>2.5</t>
  </si>
  <si>
    <t>Код вида расходов - 112   КОСГУ - 212</t>
  </si>
  <si>
    <t>1.1. Расчеты (обоснования) расходов на оплату труда. Код вида расходов - 111   КОСГУ - 211</t>
  </si>
  <si>
    <t>Средний размер одной выплаты, руб.</t>
  </si>
  <si>
    <t>Код вида расходов - 119   КОСГУ - 213</t>
  </si>
  <si>
    <t>Код вида расходов - 321   КОСГУ - 262.10</t>
  </si>
  <si>
    <t>Среднегодовая численность обучающихся, чел.</t>
  </si>
  <si>
    <t>Выплата государственных академических стипендий студентам, обучающимся по очной форме обучения за счет бюджетных ассигнований областного бюджета</t>
  </si>
  <si>
    <t>6=3*4*5</t>
  </si>
  <si>
    <t>Общая сумма выплат, руб.</t>
  </si>
  <si>
    <t>5=3*4</t>
  </si>
  <si>
    <t>Выплата государственных социальных стипендий студентам, обучающимся по очной форме обучения за счет бюджетных ассигнований областного бюджета, имеющим право на получение государственной социальной стипендии</t>
  </si>
  <si>
    <t>в том числе:
дети-сироты и опекаемые</t>
  </si>
  <si>
    <t>Денежная выплата слушателям в размере государственной академичекой стипендии</t>
  </si>
  <si>
    <t>Денежная выплата слушателям в размере государственной социальной стипендии</t>
  </si>
  <si>
    <r>
      <t xml:space="preserve">Средства  для организации культурно-массовой, физкультурной и спортивной, оздоровительной работы, месячный размер части стипендиального фонда
</t>
    </r>
    <r>
      <rPr>
        <b/>
        <sz val="12"/>
        <color theme="1"/>
        <rFont val="Times New Roman"/>
        <family val="1"/>
        <charset val="204"/>
      </rPr>
      <t>КОСГУ 226.00</t>
    </r>
  </si>
  <si>
    <t>Код вида расходов - 360   КОСГУ - 290.20</t>
  </si>
  <si>
    <t>Код вида расходов - 851   КОСГУ - 290.20</t>
  </si>
  <si>
    <t>5=3*4/100</t>
  </si>
  <si>
    <t>Сумма исчисленного налога, подлежащего уплате, руб.</t>
  </si>
  <si>
    <t>Земельный налог</t>
  </si>
  <si>
    <t>Транспортный налог</t>
  </si>
  <si>
    <t>Код вида расходов - 852   КОСГУ - 290.20</t>
  </si>
  <si>
    <t>Госпошлина за аккредитацию образовательных программ</t>
  </si>
  <si>
    <t>Код вида расходов - 853   КОСГУ - 290.20</t>
  </si>
  <si>
    <t>Код вида расходов - 831   КОСГУ - 290.20</t>
  </si>
  <si>
    <t>Уплата пеней и штрафов по контрактам на поставку товаров, выполнение работ, оказание услуг</t>
  </si>
  <si>
    <t>Возмещение судебных издержек истцам (государственной пошлины и иных издержек, связанных с рассмотрением дел в судах)</t>
  </si>
  <si>
    <t>Гопошлина учреждением-ответчиком по решению суда</t>
  </si>
  <si>
    <t>Штрафы (в т.ч. административные), пени (в т.ч. за несвоевременную уплату налогов и сборов)</t>
  </si>
  <si>
    <t>Денежная компенсация, предусмотренная статьей 236 Трудового кодекса Российской Федерации, выплачиваемая учреждениями-работодателями, в том числе на основании судебных решений</t>
  </si>
  <si>
    <t>Плата за негативное воздействие на окружающую среду</t>
  </si>
  <si>
    <t>251</t>
  </si>
  <si>
    <t>252</t>
  </si>
  <si>
    <t>Итого по КОСГУ    :</t>
  </si>
  <si>
    <t>Код вида расходов - 244</t>
  </si>
  <si>
    <t>ВСЕГО:</t>
  </si>
  <si>
    <t>5.1. Расчет (обоснование) расходов на оплату услуг связи</t>
  </si>
  <si>
    <t>5.2. Расчет (обоснование) расходов на оплату транспортных услуг</t>
  </si>
  <si>
    <t>5.4. Расчет (обоснование) расходов на оплату аренды имущества</t>
  </si>
  <si>
    <t>2. Расчеты (обоснования) расходов на социальные и иные выплаты населению (строка 220)</t>
  </si>
  <si>
    <t>3. Расчет (обоснование) расходов на уплату налогов, сборов и иных платежей (строка 230)</t>
  </si>
  <si>
    <t>4. Расчет (обоснование) прочих расходов (кроме расходов на закупку товаров, работ, услуг) (строка 250)</t>
  </si>
  <si>
    <t>5. Расчет (обоснование) расходов на закупку товаров, работ, услуг (строка 260)</t>
  </si>
  <si>
    <t>Код вида расходов - 244   КОСГУ - 221</t>
  </si>
  <si>
    <t>Код вида расходов - 244   КОСГУ - 222</t>
  </si>
  <si>
    <t>Услуги радиоточки</t>
  </si>
  <si>
    <t>Конрагент</t>
  </si>
  <si>
    <t>Код вида расходов - 244   КОСГУ - 224</t>
  </si>
  <si>
    <t>5.3. Расчет (обоснование) расходов на оплату коммунальных услуг</t>
  </si>
  <si>
    <t>5.5. Расчет (обоснование) расходов на оплату работ, услуг по содержанию имущества</t>
  </si>
  <si>
    <t>5.6. Расчет (обоснование) расходов на оплату прочих работ, услуг</t>
  </si>
  <si>
    <t>Подключение к сети Интернет</t>
  </si>
  <si>
    <t>Услуги телефонной связи</t>
  </si>
  <si>
    <t>Услуг междугородной и международной связи</t>
  </si>
  <si>
    <t>Подключение к новых телефонных номеров</t>
  </si>
  <si>
    <t>Приобретение конвертов, марок</t>
  </si>
  <si>
    <r>
      <t xml:space="preserve">Затраты на горячее водоснабжение (Nгв)
</t>
    </r>
    <r>
      <rPr>
        <sz val="12"/>
        <color rgb="FFFF0000"/>
        <rFont val="Times New Roman"/>
        <family val="1"/>
        <charset val="204"/>
      </rPr>
      <t>в случае, если выписывают отдельные счета на горячее водоснабжение</t>
    </r>
  </si>
  <si>
    <t>Затраты за потребление тепловой энергии (Nо)</t>
  </si>
  <si>
    <t>Затраты на потребление природного газа (Nо)</t>
  </si>
  <si>
    <t>Затраты на потребление электирической энергии (Nэ)</t>
  </si>
  <si>
    <t>Затраты на холодное водоснабжение (Nхв)</t>
  </si>
  <si>
    <t>1 квартал</t>
  </si>
  <si>
    <t>2 квартал</t>
  </si>
  <si>
    <t>3 квартал</t>
  </si>
  <si>
    <t>4 квартал</t>
  </si>
  <si>
    <t>на год</t>
  </si>
  <si>
    <t>Плата за негативное воздействие на работу централизованной системы водоотведения</t>
  </si>
  <si>
    <t>Затраты на водоотведение (Nвод)</t>
  </si>
  <si>
    <t>11=(4+5)*9+ (6+7)*9*10</t>
  </si>
  <si>
    <t>коэф.</t>
  </si>
  <si>
    <t>Сумма,
руб.</t>
  </si>
  <si>
    <t>Объем потребления ресурсов</t>
  </si>
  <si>
    <t>Затраты на вывоз и утилизацию отходов (Nотх)</t>
  </si>
  <si>
    <t>Плата за пользование сетью Интернет</t>
  </si>
  <si>
    <t>Код вида расходов - 244   КОСГУ - 225</t>
  </si>
  <si>
    <t>8=4+5+6+7</t>
  </si>
  <si>
    <t>14=12*13</t>
  </si>
  <si>
    <t>16=12*15</t>
  </si>
  <si>
    <t>Затраты на содержание недвижимого имущества (Nни)</t>
  </si>
  <si>
    <t>Затраты на охрану:</t>
  </si>
  <si>
    <t>прочее (УКАЗАТЬ)</t>
  </si>
  <si>
    <t>Затраты на противопожарную безопасность</t>
  </si>
  <si>
    <t>обслуживание средств охраны объектов</t>
  </si>
  <si>
    <t>обслуживание систем видеонаблюдения</t>
  </si>
  <si>
    <t>обслуживание оборудование прямой телефонной линии</t>
  </si>
  <si>
    <t>проведение регламентных работ системы автоматической пожарной сигнализации</t>
  </si>
  <si>
    <t>Затраты на содержание прилегающей территории:</t>
  </si>
  <si>
    <t>расчистка снега</t>
  </si>
  <si>
    <t>Затраты на санитарную обработку помещений:</t>
  </si>
  <si>
    <t>Затраты на техобслуживание инженерного, технологического, медицинского и других видов оборудования:</t>
  </si>
  <si>
    <t>ТО и ремонт производственного оборудования (столовая, лаборатории)</t>
  </si>
  <si>
    <t>ТО и ремонт газового оборудования</t>
  </si>
  <si>
    <t>ТО контрольно-кассовой техники</t>
  </si>
  <si>
    <t>ТО и ремонт оргтехники</t>
  </si>
  <si>
    <t>поверка (калибровка) средств измерений (весов)</t>
  </si>
  <si>
    <t>измерение уровня шума, освещенности, параметров микроклимата</t>
  </si>
  <si>
    <t>поверка и ремонт энергетических счетчиков</t>
  </si>
  <si>
    <t>промывка и опресовка систем отопления</t>
  </si>
  <si>
    <t>ремонт электроосветительных систем</t>
  </si>
  <si>
    <t>очистка сетей водоотведения</t>
  </si>
  <si>
    <t>утилизация ртутных ламп</t>
  </si>
  <si>
    <t>Оформление документов в БТИ:</t>
  </si>
  <si>
    <t>Прочие затраты:</t>
  </si>
  <si>
    <t>ежегодная камерная дезинфекция мягкого инвентаря</t>
  </si>
  <si>
    <t>Затраты на содержание транспорта:</t>
  </si>
  <si>
    <t>Затраты на прочие общехозяйственные нужды (Nпроч общ)</t>
  </si>
  <si>
    <t>ТО и ремонт транспорта</t>
  </si>
  <si>
    <t>ОСАГО, КАСКО</t>
  </si>
  <si>
    <t>Затраты, не включенные в вышеперечисленные категории:</t>
  </si>
  <si>
    <t>Госпошлина за лицензирование новых образовательных программ</t>
  </si>
  <si>
    <t>Код вида расходов - 244   КОСГУ - 226</t>
  </si>
  <si>
    <t>Затраты на медицинских услуг:</t>
  </si>
  <si>
    <t>переподготовка педагогического персонала</t>
  </si>
  <si>
    <t>повышение квалицикации педагогического персонала</t>
  </si>
  <si>
    <t>вневедомственная охрана</t>
  </si>
  <si>
    <t>очистка крыш от снега и наледи</t>
  </si>
  <si>
    <t>Прочие затраты на содержание движимого имущества:</t>
  </si>
  <si>
    <t>оказание медицинских услуг для обучащихся (фельдшер)</t>
  </si>
  <si>
    <t>услуги в сфере навигационной деятельности транспортных средств ГЛОНАСС</t>
  </si>
  <si>
    <t>обучение ответственных лиц по охране труда, электробезопасности, пожарной безопасности, гражданской обороне и пр.</t>
  </si>
  <si>
    <t>проведение оценки при подготовке договоров по аренде имущества</t>
  </si>
  <si>
    <t>проведение теле, видео, радиорекламы, профориентационная работа</t>
  </si>
  <si>
    <t>изготовление баннеров, информационных стендов</t>
  </si>
  <si>
    <t>услуги по годовому информационно-технологическому сопровождению программных продуктов системы 1С</t>
  </si>
  <si>
    <t>аккарицидная обработка территорий от клещей</t>
  </si>
  <si>
    <t>услуги оператора фискильных данных контрольно-кассовой техники</t>
  </si>
  <si>
    <t>страхование обучающихся при проведении мероприятий</t>
  </si>
  <si>
    <t>ежемесячное проведение испытаний (исследований) проб пищевой продукции</t>
  </si>
  <si>
    <t>бактериологический и химический анализ воды, исследования смывов</t>
  </si>
  <si>
    <t>Тариф
(с учетом НДС),
руб.</t>
  </si>
  <si>
    <t>Наименование контролирующего (иного) органа</t>
  </si>
  <si>
    <t>№ и дата предписания, акта и пр.</t>
  </si>
  <si>
    <t>Суть предписания</t>
  </si>
  <si>
    <t>Предмет, вид ремонта</t>
  </si>
  <si>
    <t>Возмещение расходов на прохождение медицинского осмотра</t>
  </si>
  <si>
    <t>дератизационные и/или дезинсекционные, дезинфекционные мероприятия</t>
  </si>
  <si>
    <t>зарядка огнетушителей</t>
  </si>
  <si>
    <t>измерение сопротивления изоляции электропроводки, испытание устройств защитного заземления</t>
  </si>
  <si>
    <t>Межевание границ земельных участков</t>
  </si>
  <si>
    <t>разработка проектной и сметной документации</t>
  </si>
  <si>
    <t>услуги по страхованию имущества</t>
  </si>
  <si>
    <t>приобретение и обновление справочно-информационных баз данных</t>
  </si>
  <si>
    <t>проведение предрейсовых медосмотров водителей</t>
  </si>
  <si>
    <t>приобретение (изготовление) бланков строгой отчетности</t>
  </si>
  <si>
    <t>Расходы на оплату услуг по организации питания:</t>
  </si>
  <si>
    <t>Расходы на повышение квалификации педагогического и административно-управленческого персонала:</t>
  </si>
  <si>
    <t>Оплата договоров с юридическими лицами по проведению циклов повышения квалификации специалситов:</t>
  </si>
  <si>
    <t>Расходы по оплате договоров гражданско-правового характера, предметом которых является оказание услуг по руководству практикой студентов:</t>
  </si>
  <si>
    <t>монтаж систем видеонаблюдения</t>
  </si>
  <si>
    <t>Выплата работникам среднемесячного заработка на период трудоустройства при их увольнении в связи с ликвидацией либо реорганизацией учреждения, иными организационно-штатными мероприятиями, приводящими к сокращению численности или штата учреждения</t>
  </si>
  <si>
    <t>Оплата дополнительных выходных дней, предоставляемых для ухода за детьми-инвалидами в соответствии со статьей 262 Трудового кодекса Российской Федерации (в части расходов бюджета Фонда социального страхования Российской Федерации)</t>
  </si>
  <si>
    <t>Прочее (УКАЗАТЬ)</t>
  </si>
  <si>
    <t>Затраты на обеспечение учебного процесса (Niуч)</t>
  </si>
  <si>
    <t>Затраты на компенсационные работникам (Nкв)</t>
  </si>
  <si>
    <t>5.7. Расчет (обоснование) расходов на приобретение основных средств, материальных запасов</t>
  </si>
  <si>
    <t>6=4*5</t>
  </si>
  <si>
    <t>Код вида расходов - 244   КОСГУ - 310, 340</t>
  </si>
  <si>
    <t>Расходы на приобретение технических средств обучения, расходных материалов, канцелярских товаров</t>
  </si>
  <si>
    <t>Расходные материалы для обеспечения учебного процесса</t>
  </si>
  <si>
    <t>Основные средства для обеспечения учебного процесса</t>
  </si>
  <si>
    <t>Горюче-смазочные материалы для обеспечения учебного процесса</t>
  </si>
  <si>
    <t>Канцелярские товары для обеспечения учебного процесса</t>
  </si>
  <si>
    <t>Расходы на приобретение прочих материальных запасов, потребляемых (используемых) в процессе оказания государственной услуги</t>
  </si>
  <si>
    <t>Затраты на услуги связи (Nус)</t>
  </si>
  <si>
    <t>Затраты на коммунальные услуги (Nку)</t>
  </si>
  <si>
    <t>Затраты на содержание имущества (Nси)</t>
  </si>
  <si>
    <t>Затраты на содержание особо ценного движимого имущества (Nди)</t>
  </si>
  <si>
    <t>Затраты на транспортные услуги (Nтр)</t>
  </si>
  <si>
    <t>340.00</t>
  </si>
  <si>
    <t>Медикаменты и перевязочные средства</t>
  </si>
  <si>
    <t>Горюче-смазочные материалы на прочие цели</t>
  </si>
  <si>
    <t>Котельно-печное топливо (дрова)</t>
  </si>
  <si>
    <t>мягкий инвентарь</t>
  </si>
  <si>
    <t>строительные материалы</t>
  </si>
  <si>
    <t>электротовары</t>
  </si>
  <si>
    <t>хозтовары</t>
  </si>
  <si>
    <t>запасные части для машин и оборудования</t>
  </si>
  <si>
    <t>ВСЕГО 226:</t>
  </si>
  <si>
    <t>ВСЕГО 225:</t>
  </si>
  <si>
    <t>ВСЕГО 221:</t>
  </si>
  <si>
    <t>ВСЕГО 222:</t>
  </si>
  <si>
    <t>ВСЕГО 224:</t>
  </si>
  <si>
    <t>073 07 04 0000000000 244 290.20</t>
  </si>
  <si>
    <t>073 07 04 0000000000 407 225.00</t>
  </si>
  <si>
    <t>073 07 04 0000000000 407 226.00</t>
  </si>
  <si>
    <t>Гранты победителям конкурсов в рамках приоритетного национального проекта "Образование"</t>
  </si>
  <si>
    <t>Осуществление иных расходов, не входящих в нормативные затраты</t>
  </si>
  <si>
    <t>073 07 04 0000000000 000 610.10</t>
  </si>
  <si>
    <t>Компенсация на питание детей-сирот во время практики, каникул и пр.</t>
  </si>
  <si>
    <t>в год</t>
  </si>
  <si>
    <t>в день</t>
  </si>
  <si>
    <t>в месяц</t>
  </si>
  <si>
    <t>Обеспечение бесплатным комплектом одежды, обуви и мягкого инвентаря</t>
  </si>
  <si>
    <t>Компенсация на обеспечение бесплатным комплектом одежды, обуви, мягким инвентарем и оборудованием</t>
  </si>
  <si>
    <t>Единовременное денежное пособие при выпуске</t>
  </si>
  <si>
    <t>Продукты питани. Обеспечение льготным питанием:</t>
  </si>
  <si>
    <t>Прочие материальные запасы:</t>
  </si>
  <si>
    <t>Расходы на приобретение особоценного движимого имущества, потребляемого (используемого) в процессе оказания государственной услуги:</t>
  </si>
  <si>
    <t>детей-сирот и детей, оставшихся без попечения родителей, лиц из числа детей-сирот и детей, оставшихся без попечения родителей</t>
  </si>
  <si>
    <t>обучающихся из числа лиц с ограниченными возможностями здоровья, а также признанных в установленном порядке инвалидами</t>
  </si>
  <si>
    <t>Денежная компенсация студентам, обучающимся по образовательным программам среднего профессионального образования подготовки квалифицированных рабочих, служащих, а также слушателям</t>
  </si>
  <si>
    <t>Денежная компенсация обучающимся из числа лиц с ограниченными возможностями здоровья, а также признанным в установленном порядке инвалидами</t>
  </si>
  <si>
    <t>Код вида расходов - 244   КОСГУ - 223, 225, 340.50</t>
  </si>
  <si>
    <t>Таблица № 6</t>
  </si>
  <si>
    <r>
      <t>Анализ потребности денежных средств, необходимых для обеспечения выполнения государственного задания на 2018 финансовый год (</t>
    </r>
    <r>
      <rPr>
        <b/>
        <sz val="14"/>
        <rFont val="Times New Roman"/>
        <family val="1"/>
        <charset val="204"/>
      </rPr>
      <t>Тип средств 100103)</t>
    </r>
  </si>
  <si>
    <t>6. Расчёт расходов на устранение предписаний контролирующих органов на 2018 год</t>
  </si>
  <si>
    <t>№
п/п</t>
  </si>
  <si>
    <t>экономической службы</t>
  </si>
  <si>
    <t>Руководитель финансово-</t>
  </si>
  <si>
    <t>Порядковый номер по значимости</t>
  </si>
  <si>
    <t>Примечание
(наличие проектно-сметной документации)</t>
  </si>
  <si>
    <t>Потребность в средствах,
руб.</t>
  </si>
  <si>
    <t>7. Расчёт расходов на развитие материальной базы (без учета предписаний и актов) на 2018 год</t>
  </si>
  <si>
    <t>договора гражданско-правовго характера (оплата труда и начисления на выплаты по оплате труда)</t>
  </si>
  <si>
    <t>Итого Niфотп:</t>
  </si>
  <si>
    <t>Итого Niуч:</t>
  </si>
  <si>
    <r>
      <t xml:space="preserve">в рублях,
</t>
    </r>
    <r>
      <rPr>
        <b/>
        <sz val="12"/>
        <rFont val="Times New Roman"/>
        <family val="1"/>
        <charset val="204"/>
      </rPr>
      <t>гр.5-гр.4</t>
    </r>
  </si>
  <si>
    <r>
      <t xml:space="preserve">%, </t>
    </r>
    <r>
      <rPr>
        <b/>
        <sz val="12"/>
        <rFont val="Times New Roman"/>
        <family val="1"/>
        <charset val="204"/>
      </rPr>
      <t>гр.5/гр.4* 100</t>
    </r>
  </si>
  <si>
    <t>Затраты на оказание государственной услуги (Niбаз 1)</t>
  </si>
  <si>
    <t>Затраты на уплату налогов (Nун)</t>
  </si>
  <si>
    <t>Затраты на общехозяйственные нужды (Niбаз 2)</t>
  </si>
  <si>
    <t>ВСЕГО затраты на оказание государственной услуги (Niбаз 1)</t>
  </si>
  <si>
    <t>Затраты на оплату труда и начисления на выплаты по оплате труда персонала, непосредственно оказывающего государственную услугу (Niфотп)</t>
  </si>
  <si>
    <t>Затраты на оплату труда и начисления на выплаты по оплате труда работников, которые не принимают непосредственного участия в оказании государственной услуги (Nфотауп)</t>
  </si>
  <si>
    <t>Итого Nфотауп:</t>
  </si>
  <si>
    <t>Итого Nкв:</t>
  </si>
  <si>
    <t>Итого Nус:</t>
  </si>
  <si>
    <t>Итого Nтр:</t>
  </si>
  <si>
    <t>Итого Nку:</t>
  </si>
  <si>
    <t>Код вида расходов - 113   КОСГУ - 290.20</t>
  </si>
  <si>
    <t>Итого Nни:</t>
  </si>
  <si>
    <t>Итого Nди:</t>
  </si>
  <si>
    <t>Итого Nпроч:</t>
  </si>
  <si>
    <t>Прочие затраты на обеспечение учебного процесса (Nпроч)</t>
  </si>
  <si>
    <t>Итого Nпроч общ:</t>
  </si>
  <si>
    <t>Итого Nун:</t>
  </si>
  <si>
    <t>Итого Nси:</t>
  </si>
  <si>
    <t>ВСЕГО затраты на общехозяйственные нужды (Niбаз 2)</t>
  </si>
  <si>
    <t>ВСЕГО затраты на уплату налогов и содержание имущества (Nун и Nси)</t>
  </si>
  <si>
    <t>Директор департамента образования</t>
  </si>
  <si>
    <t>и науки Костромской области</t>
  </si>
  <si>
    <t>Исходные данные и результаты расчетов объема нормативных затрат на оказание областными государственными учреждениями государственных услуг и нормативных затрат на содержание имущества областных государственных учреждений</t>
  </si>
  <si>
    <t>Наименование государственной услуги</t>
  </si>
  <si>
    <t>Объем государственной услуги</t>
  </si>
  <si>
    <t>Объем</t>
  </si>
  <si>
    <t xml:space="preserve">Услуга №1 Реализация основных профессиональных образовательных программ </t>
  </si>
  <si>
    <t>численность обучающихся, всего</t>
  </si>
  <si>
    <t>человек</t>
  </si>
  <si>
    <t>Итого текущий финансовый период</t>
  </si>
  <si>
    <t>Т. Е. Быстрякова</t>
  </si>
  <si>
    <t>Ед. изм.</t>
  </si>
  <si>
    <t>Нормативные затраты на общехозяйственные нужды
(руб. на ед.)</t>
  </si>
  <si>
    <t>Нормативные затраты, непосредственно связанные с оказанием государственной услуги
(руб. на ед.)</t>
  </si>
  <si>
    <t>Итого нормативные затраты на оказание государственной  услуги
(руб. на ед.)*</t>
  </si>
  <si>
    <t>Общий объем расчетно-норматиных затрат на оказание государственной  услуги
(руб.)</t>
  </si>
  <si>
    <t>Затраты на содержание имущества
(руб.)</t>
  </si>
  <si>
    <t>Сумма финансового обеспечения выполнения государственного задания
(руб.)**</t>
  </si>
  <si>
    <t>Объем средств необходимых для обеспечения выполнения государственного задания на 2018 финансовый год по нормативным затратам, руб.</t>
  </si>
  <si>
    <t>Приобретение по КВР 244 КОСГУ 290.20</t>
  </si>
  <si>
    <t>на 2018 очередной финансовый год</t>
  </si>
  <si>
    <t>на 2018 финансовый год и плановый период 2019 и 2020 годов</t>
  </si>
  <si>
    <t>на 2020 2-й год планового периода</t>
  </si>
  <si>
    <t>на 2019 1-й год планового периода</t>
  </si>
  <si>
    <t>на плановый период 2019 года</t>
  </si>
  <si>
    <t>на плановый период 2020 года</t>
  </si>
  <si>
    <t>Таблица 2.2</t>
  </si>
  <si>
    <t>Таблица 2.3</t>
  </si>
  <si>
    <t>Областное государственное бюджетное профессиональное образовательное учреждение "Костромской автодорожный колледж"</t>
  </si>
  <si>
    <t>156016, Костромская область, г.Кострома, ул.Профсоюзная,д.36</t>
  </si>
  <si>
    <t>23.01.06 Машинист дорожных и строительных машин</t>
  </si>
  <si>
    <t>23.01.07 Машинист крана (крановщик)</t>
  </si>
  <si>
    <t>23.01.03 Автомеханик</t>
  </si>
  <si>
    <t>35.01.13 Тракторист-машинист сельскохозяйственного производства</t>
  </si>
  <si>
    <t>43.01.09 (19.01.17) Повар, кондитер</t>
  </si>
  <si>
    <t>38.01.02 Продавец, контролёр-кассир</t>
  </si>
  <si>
    <t>Адаптированная программа 13460 Маляр, 19727 Штукатур</t>
  </si>
  <si>
    <t>19203  Тракторист категории С</t>
  </si>
  <si>
    <t xml:space="preserve">23.02.04 Техническая эксплуатация подъемно-транспортных, строительных, дорожных машин и оборудования </t>
  </si>
  <si>
    <t>35.02.07 Механизация сельского хозяйства</t>
  </si>
  <si>
    <t>38.02.04 Коммерция (По отраслям)</t>
  </si>
  <si>
    <t>-</t>
  </si>
  <si>
    <t>Н.В.Бойцов</t>
  </si>
  <si>
    <t>М.В.Кругликова</t>
  </si>
  <si>
    <t>зам.директора по УПР</t>
  </si>
  <si>
    <t>Р.М.Волхонов</t>
  </si>
  <si>
    <t>22-76-05</t>
  </si>
  <si>
    <t>Налог на имущество организаций:
балансовая стоимость имущества на 01.01.2018 г. 89835012,14 руб.
амортизация: 79867586,92 руб.</t>
  </si>
  <si>
    <t>Госпошлина за тех.осмотр</t>
  </si>
  <si>
    <t>уч.корпус,общеж.</t>
  </si>
  <si>
    <t>трактора,автом.</t>
  </si>
  <si>
    <t>Текущий ремонт покрытия автодорома</t>
  </si>
  <si>
    <t>мастера п/о</t>
  </si>
  <si>
    <t>мастера п/о,зам.директора по УПР</t>
  </si>
  <si>
    <t>зав.филиалами, начальник хоз.отдела</t>
  </si>
  <si>
    <t>уч.корпус общеж.полиг.</t>
  </si>
  <si>
    <t xml:space="preserve">Судиславский филиал </t>
  </si>
  <si>
    <t>автомобили</t>
  </si>
  <si>
    <t>проведение периодических медосмотров работников</t>
  </si>
  <si>
    <t>чел.</t>
  </si>
  <si>
    <t>проведение санминимума работников</t>
  </si>
  <si>
    <t>проведение периодических медосмотров обучающихся</t>
  </si>
  <si>
    <t>проведение санминимума обучающихся</t>
  </si>
  <si>
    <t>ОГБУЗ г. Костромы</t>
  </si>
  <si>
    <t>дипломы,свидетельства</t>
  </si>
  <si>
    <t>рабочих мест</t>
  </si>
  <si>
    <t>обработка архива за 2002-2012 годы</t>
  </si>
  <si>
    <t>Консультант-плюс</t>
  </si>
  <si>
    <t>3 раза сдача бак.анализа воды к сдаче учебного заведения к началу учебного года с филиалами</t>
  </si>
  <si>
    <t>услуги банка</t>
  </si>
  <si>
    <t>Общеобразовательная подготовка</t>
  </si>
  <si>
    <t>Материаловедение</t>
  </si>
  <si>
    <t>Основы слесарного дела</t>
  </si>
  <si>
    <t>Эксплутация автомобилей</t>
  </si>
  <si>
    <t>Товароведение пещевой помышленности</t>
  </si>
  <si>
    <t>Организация процесса приготовления пищи</t>
  </si>
  <si>
    <t>Учебные стенды по ПДД</t>
  </si>
  <si>
    <t>Бензин</t>
  </si>
  <si>
    <t>Дизтопливо</t>
  </si>
  <si>
    <t>Смазочные материалы</t>
  </si>
  <si>
    <t>продукты питания для обучение поваров</t>
  </si>
  <si>
    <t>запасные части для лабораторных занятий</t>
  </si>
  <si>
    <t>Папки,файлы</t>
  </si>
  <si>
    <t>бумага</t>
  </si>
  <si>
    <t>папки,файлы</t>
  </si>
  <si>
    <t xml:space="preserve">Государственная пожарная инспекция </t>
  </si>
  <si>
    <t>№156/1/1 от 26.05.2015г.</t>
  </si>
  <si>
    <t>Востановление пожарной сигнализации</t>
  </si>
  <si>
    <t>Управление федеральной службы по надзору в сфере защит прав потребителей и благополучия человека по КО</t>
  </si>
  <si>
    <t>замечания при принятиии уч.заведения</t>
  </si>
  <si>
    <t>установка софитов в кабинетах</t>
  </si>
  <si>
    <t>организовать питьевой режим</t>
  </si>
  <si>
    <t>замена кроватей</t>
  </si>
  <si>
    <t>начальник хоз.отдела</t>
  </si>
  <si>
    <t>Е.А.Егорова</t>
  </si>
  <si>
    <t>34-03-22</t>
  </si>
  <si>
    <t>ремонт крыши (кровля) г.Кострома ул. Профсоюзная д.36</t>
  </si>
  <si>
    <t>есть</t>
  </si>
  <si>
    <t>ремонт пожарного водопровода г Кострома Ул. Профсоюзная д. 36</t>
  </si>
  <si>
    <t>огнезащитная обработка чердачных помещений Костромская обл. Судиславский р-н пос. Дружба ул. Дорожная д. 11;13</t>
  </si>
  <si>
    <t>замена трубопровода в общежитиии г.Кострома ул. Профсоюзная д.38</t>
  </si>
  <si>
    <t>Замена  окон в общежитие г. Кострома ул. Профсоюзная д. 38</t>
  </si>
  <si>
    <t>Ремонт системы отопления Г. Кострома Судиславский р-н пгт. Судиславль ул.Советская д.18</t>
  </si>
  <si>
    <t>Ремонт наружной стены спортзала Костромская обл. Судиславский р-н п. Дружба  ул. Дорожная д.11</t>
  </si>
  <si>
    <t>Устройство ограждений территории колледжаКостромская обл. Судиславский р-н п. Дружба  ул. Дорожная д.11</t>
  </si>
  <si>
    <t xml:space="preserve">Ремонт системы пожарной сигнализации (звуковое оповещение) в общежитии по адресу Костромская обл. г. Макарьев ул.Смирнова д. 2 </t>
  </si>
  <si>
    <t>Устройство ограждения територии колледжа по адресу Костромская обл. г. Макарьев ул. Юрьевецкая д. 25</t>
  </si>
  <si>
    <t>Ремонт крыши учебного корпуса и столовой по адресу Костромская обл. г. Макарьев ул. Юрьевецкая д. 25</t>
  </si>
  <si>
    <t>Ремонт крыши гаража по адресу Костромская обл. г. Макарьев ул. Лесная д.23</t>
  </si>
  <si>
    <t>Ремонт крыши спорт зала по адресу Костромская обл. г. Макарьев ул. Юрьевецкая д. 25</t>
  </si>
  <si>
    <t>Устройство покрытия площадок учебного полигона (автодрома)</t>
  </si>
  <si>
    <t>Ремонт наружной стены лабораторного корпуса</t>
  </si>
  <si>
    <t>Компьютеризированный тренаж. компл.</t>
  </si>
  <si>
    <t>Автомобиль для учебной езды</t>
  </si>
  <si>
    <t>ИТОГО</t>
  </si>
  <si>
    <t>290.10</t>
  </si>
  <si>
    <t>Подготовка квалифицированных рабочих или служащих и специалистов среднего звена по всем основным направлениями общественно полезной деятельности в соответствии с потребностями общества и государства, а также удовлетворение потребностей личности в углублении и расширении образования.</t>
  </si>
  <si>
    <t>1) организация образовательного процесса по основным профессиональным образовательным программам подготовки специалистов среднего звена базовой и улублнной подготовки:
на базе основного общего образования с получением среднего общего образования;
на базе среднего общего образования;
2) организация образовательного процесса по основным профессиональным образовательным программам среднего профессионального образования подготовки квалифицированных рабочих,служащих базовой подготовки:
на базе основного общего образования с получением среднего общего образования;
на базе среднего общего образования;
3) организация образовательного процесса по основным образовательным программам профессионального обучения - программам профессиональной подготовки по профессиям рабочих, должностям служащих:
из числа лиц не имеющих профессии рабочего,должности служащего;
4) организация образовательного процесса по основным образовательным программам профессионального обучения - программам профессиональной переподготовки по профессиям рабочих,должностям служащих:
из числа лиц имеющих профессию рабочего,должность служащего;
5) организация образовательного процесса по дополнительным профессиональным программам:
а) повышение квалификации;
б) профессиональной подготовки:
из числа лиц имеющих среднее профессиональное образование и (или) высшее образование;
из числа лиц получающих среднее профессиональное образование и (или) высшее образование;
6) организация образовательного процесса по дополнительным образовательным программам:
по дополнительным общеразвивающим программам;
по дополнительным предпрофессиональным программам.</t>
  </si>
  <si>
    <t>Общая балансовая стоимость недвижимого государственного имущества</t>
  </si>
  <si>
    <t>Общая балансовая стоимость движимого государственного имущества</t>
  </si>
  <si>
    <t>в том числе балансовая стоимость особо ценного движимого имущества</t>
  </si>
  <si>
    <t>Учреждение осуществляет деятельность, связанную с выполнением работ, оказанием услуг, относящуюся к его основным видам деятельности, в сфере образования.</t>
  </si>
  <si>
    <t>25 чел.*163,50 руб.*97 дн.</t>
  </si>
  <si>
    <t>Код вида расходов - 340   КОСГУ 290.10 / 360   КОСГУ 290.20</t>
  </si>
  <si>
    <t>Итого КВР 340 КОСГУ 290.10:</t>
  </si>
  <si>
    <t>Ежемесячная компенсацмонная выплата студентам, находящимся в академическом отпуске по медицинским показаниям</t>
  </si>
  <si>
    <t>Итого КВР 360 КОСГУ 290.20:</t>
  </si>
  <si>
    <r>
      <t xml:space="preserve">Средства для оказания материальной поддержки обучающимся, нуждающимся в социальной помощи, 25% размера части стипендиального фонда
</t>
    </r>
    <r>
      <rPr>
        <b/>
        <sz val="12"/>
        <color theme="1"/>
        <rFont val="Times New Roman"/>
        <family val="1"/>
        <charset val="204"/>
      </rPr>
      <t>КВР 360 КОСГУ 290.20</t>
    </r>
  </si>
  <si>
    <t xml:space="preserve">студентов, обучающихся по образовательным программам среднего профессионального образования подготовки квалифицированных рабочих, служащих, а также слушателей </t>
  </si>
  <si>
    <t>246 уч.дня</t>
  </si>
  <si>
    <t>Организация питания за плату</t>
  </si>
  <si>
    <t>* В столбце "Обучающиеся с ОВЗ" в том числе отражены дети-сироты - 3 чел.</t>
  </si>
  <si>
    <t>ВНЕБЮДЖЕТ</t>
  </si>
  <si>
    <t>Недостаток выделенных средств согласно расчёта потребности</t>
  </si>
  <si>
    <t>проведение специальной оценки условий труда</t>
  </si>
  <si>
    <t>ТО автомобилей</t>
  </si>
  <si>
    <t>Расходы на приобретение учебников и учебных пособий по специальностям:</t>
  </si>
  <si>
    <t>50111515</t>
  </si>
  <si>
    <t>4401023041/440101001</t>
  </si>
  <si>
    <t>34701000</t>
  </si>
  <si>
    <t>00095680</t>
  </si>
  <si>
    <r>
      <t xml:space="preserve">исполнитель                                          </t>
    </r>
    <r>
      <rPr>
        <sz val="10"/>
        <rFont val="Times New Roman"/>
        <family val="1"/>
        <charset val="204"/>
      </rPr>
      <t>(должность)                   (подпись)              (расшифровка подписи)                   (телефон)</t>
    </r>
  </si>
  <si>
    <t>главный бухгалтер</t>
  </si>
  <si>
    <t>Н.В.Бойцуов</t>
  </si>
  <si>
    <t>34-82-41</t>
  </si>
  <si>
    <t>Перевозка учащихся</t>
  </si>
  <si>
    <r>
      <t xml:space="preserve">Ответственный                             </t>
    </r>
    <r>
      <rPr>
        <u/>
        <sz val="12"/>
        <rFont val="Times New Roman"/>
        <family val="1"/>
        <charset val="204"/>
      </rPr>
      <t>Главный бухгалтер                                    М.В.Кругликова                      34-82-41</t>
    </r>
  </si>
  <si>
    <t>Недостаточно средств на оплату услуг по междугородней связи ПАО "Ростелеком" (филиалы)</t>
  </si>
  <si>
    <t>Недостаточно средств на содержание недвижимого имущества (охрана, аккарицидная обработка)</t>
  </si>
  <si>
    <t>Недостаточно средств на содержание недвижимого имущества (охрана,ремонт,противопожарная безопасност,техническое обслуживание)</t>
  </si>
  <si>
    <t>Недостаточно средств на утилизацию ртутных ламп,поверку оборудования,измерение сопротивления изоляции электропроводки)</t>
  </si>
  <si>
    <t>Недостаточно средств на медицинское обследование сотрудников, на изготовление бланочной продукции,рекламы,профориентационной работы,обновление справочной продукции)</t>
  </si>
  <si>
    <t>Недостаточно средств на оплату транспортного налога</t>
  </si>
  <si>
    <t>Недостаточно средств на пени и штрафы ИФНС</t>
  </si>
  <si>
    <t>Недостаточно средст на приобретение ГСМ для хозяйственных нужд</t>
  </si>
  <si>
    <t>Недостаточсно средств на приобретение прочих материальных запасов (мягкого инвентаря, строительных материалов,хозяйственного инвентяря)</t>
  </si>
  <si>
    <t>Недостаточно средств для компенсациооных выплат сотрудникам(суточные,транспортные расходы,проживание)</t>
  </si>
  <si>
    <t>Недостаточно средств на оплату за курсы повышения квалификаиции сотрудников</t>
  </si>
  <si>
    <t>Недостаточно средств для оплаты компьютеров и учебных стендов</t>
  </si>
  <si>
    <t>Недостаточно средств для оплаты ГСМ для учебных занятий</t>
  </si>
  <si>
    <t>Недостаточно средств для оплаты материалов для лабораторно-практических занятий</t>
  </si>
  <si>
    <t>Недостаточно средств для оплаты медикментов для учащихся из числа детей-сирот</t>
  </si>
  <si>
    <t>Недостаточно средств для оплты продуктов питания для учащихся</t>
  </si>
  <si>
    <t>Недостаточно средств на оплату услуг ОСАГО и ГЛОНАСС</t>
  </si>
  <si>
    <t>Недостаточно средств на содержание особо ценног имущества(То и ремонт)</t>
  </si>
  <si>
    <t>« 06 » апреля 2018 года</t>
  </si>
  <si>
    <t>от « 06 » апреля 2018 года</t>
  </si>
  <si>
    <t>Субсидии на приобетение основных средств, не учитываемых в нормативных затратах на оказание государственных услуг.</t>
  </si>
  <si>
    <t>06.04.2018</t>
  </si>
  <si>
    <t>ФОТ выделен на 2 квартала</t>
  </si>
  <si>
    <t>16.02.2018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</si>
</sst>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#,##0_ ;[Red]\-#,##0\ "/>
    <numFmt numFmtId="166" formatCode="#,##0.000_ ;[Red]\-#,##0.000\ "/>
    <numFmt numFmtId="167" formatCode="0.0"/>
  </numFmts>
  <fonts count="3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color theme="2" tint="-9.9978637043366805E-2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0" fontId="17" fillId="0" borderId="0"/>
    <xf numFmtId="0" fontId="27" fillId="0" borderId="0"/>
    <xf numFmtId="0" fontId="27" fillId="0" borderId="0"/>
  </cellStyleXfs>
  <cellXfs count="7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0" fontId="1" fillId="0" borderId="4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4"/>
    </xf>
    <xf numFmtId="0" fontId="1" fillId="0" borderId="0" xfId="0" applyFont="1" applyAlignment="1">
      <alignment horizontal="left" wrapText="1"/>
    </xf>
    <xf numFmtId="49" fontId="4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/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3" fillId="0" borderId="23" xfId="0" applyFont="1" applyBorder="1" applyAlignment="1"/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5" fillId="0" borderId="0" xfId="0" applyFont="1" applyBorder="1" applyAlignment="1"/>
    <xf numFmtId="0" fontId="5" fillId="0" borderId="2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0" fillId="0" borderId="5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34" xfId="1" applyFont="1" applyBorder="1" applyAlignment="1">
      <alignment horizontal="center" wrapText="1"/>
    </xf>
    <xf numFmtId="164" fontId="4" fillId="0" borderId="2" xfId="1" applyNumberFormat="1" applyFont="1" applyFill="1" applyBorder="1" applyAlignment="1">
      <alignment vertical="top" wrapText="1"/>
    </xf>
    <xf numFmtId="0" fontId="4" fillId="0" borderId="2" xfId="1" applyFont="1" applyBorder="1" applyAlignment="1">
      <alignment wrapText="1"/>
    </xf>
    <xf numFmtId="164" fontId="4" fillId="0" borderId="2" xfId="1" applyNumberFormat="1" applyFont="1" applyFill="1" applyBorder="1" applyAlignment="1">
      <alignment wrapText="1"/>
    </xf>
    <xf numFmtId="0" fontId="1" fillId="0" borderId="2" xfId="1" applyFont="1" applyBorder="1" applyAlignment="1">
      <alignment wrapText="1"/>
    </xf>
    <xf numFmtId="0" fontId="4" fillId="0" borderId="34" xfId="1" applyFont="1" applyBorder="1" applyAlignment="1">
      <alignment horizontal="center" wrapText="1"/>
    </xf>
    <xf numFmtId="164" fontId="1" fillId="0" borderId="2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left" wrapText="1" indent="3"/>
    </xf>
    <xf numFmtId="0" fontId="4" fillId="0" borderId="2" xfId="1" applyFont="1" applyFill="1" applyBorder="1" applyAlignment="1">
      <alignment horizontal="left" wrapText="1"/>
    </xf>
    <xf numFmtId="0" fontId="20" fillId="0" borderId="0" xfId="0" applyFont="1"/>
    <xf numFmtId="0" fontId="18" fillId="0" borderId="2" xfId="1" applyFont="1" applyFill="1" applyBorder="1" applyAlignment="1">
      <alignment wrapText="1"/>
    </xf>
    <xf numFmtId="164" fontId="18" fillId="0" borderId="2" xfId="1" applyNumberFormat="1" applyFont="1" applyFill="1" applyBorder="1" applyAlignment="1">
      <alignment wrapText="1"/>
    </xf>
    <xf numFmtId="0" fontId="18" fillId="0" borderId="0" xfId="0" applyFont="1"/>
    <xf numFmtId="0" fontId="1" fillId="0" borderId="1" xfId="0" applyFont="1" applyBorder="1" applyAlignment="1">
      <alignment horizontal="left" wrapText="1" indent="2"/>
    </xf>
    <xf numFmtId="0" fontId="19" fillId="0" borderId="1" xfId="0" applyFont="1" applyBorder="1" applyAlignment="1">
      <alignment horizontal="left" wrapText="1"/>
    </xf>
    <xf numFmtId="49" fontId="19" fillId="0" borderId="11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 indent="5"/>
    </xf>
    <xf numFmtId="164" fontId="4" fillId="0" borderId="9" xfId="0" applyNumberFormat="1" applyFont="1" applyBorder="1" applyAlignment="1"/>
    <xf numFmtId="164" fontId="4" fillId="0" borderId="10" xfId="0" applyNumberFormat="1" applyFont="1" applyBorder="1" applyAlignment="1"/>
    <xf numFmtId="164" fontId="1" fillId="0" borderId="2" xfId="0" applyNumberFormat="1" applyFont="1" applyBorder="1" applyAlignment="1"/>
    <xf numFmtId="164" fontId="1" fillId="2" borderId="2" xfId="0" applyNumberFormat="1" applyFont="1" applyFill="1" applyBorder="1" applyAlignment="1"/>
    <xf numFmtId="164" fontId="1" fillId="0" borderId="12" xfId="0" applyNumberFormat="1" applyFont="1" applyBorder="1" applyAlignment="1"/>
    <xf numFmtId="164" fontId="4" fillId="0" borderId="2" xfId="0" applyNumberFormat="1" applyFont="1" applyBorder="1" applyAlignment="1"/>
    <xf numFmtId="164" fontId="4" fillId="0" borderId="12" xfId="0" applyNumberFormat="1" applyFont="1" applyBorder="1" applyAlignment="1"/>
    <xf numFmtId="164" fontId="19" fillId="0" borderId="2" xfId="0" applyNumberFormat="1" applyFont="1" applyBorder="1" applyAlignment="1"/>
    <xf numFmtId="164" fontId="19" fillId="0" borderId="12" xfId="0" applyNumberFormat="1" applyFont="1" applyBorder="1" applyAlignment="1"/>
    <xf numFmtId="164" fontId="4" fillId="0" borderId="14" xfId="0" applyNumberFormat="1" applyFont="1" applyBorder="1" applyAlignment="1"/>
    <xf numFmtId="164" fontId="4" fillId="0" borderId="15" xfId="0" applyNumberFormat="1" applyFont="1" applyBorder="1" applyAlignment="1"/>
    <xf numFmtId="164" fontId="1" fillId="2" borderId="12" xfId="0" applyNumberFormat="1" applyFont="1" applyFill="1" applyBorder="1" applyAlignment="1"/>
    <xf numFmtId="0" fontId="1" fillId="0" borderId="0" xfId="0" applyFont="1" applyAlignment="1">
      <alignment horizontal="left" wrapText="1" indent="6"/>
    </xf>
    <xf numFmtId="0" fontId="1" fillId="0" borderId="0" xfId="0" applyFont="1" applyAlignment="1">
      <alignment horizontal="left" indent="13"/>
    </xf>
    <xf numFmtId="0" fontId="1" fillId="0" borderId="0" xfId="0" applyFont="1" applyAlignment="1">
      <alignment horizontal="left" wrapText="1" indent="13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28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/>
    </xf>
    <xf numFmtId="164" fontId="1" fillId="0" borderId="2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42" xfId="0" applyNumberFormat="1" applyFont="1" applyBorder="1" applyAlignment="1"/>
    <xf numFmtId="164" fontId="1" fillId="0" borderId="44" xfId="0" applyNumberFormat="1" applyFont="1" applyBorder="1" applyAlignment="1"/>
    <xf numFmtId="164" fontId="1" fillId="0" borderId="45" xfId="0" applyNumberFormat="1" applyFont="1" applyBorder="1" applyAlignment="1"/>
    <xf numFmtId="164" fontId="1" fillId="0" borderId="9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4" fillId="0" borderId="0" xfId="1" applyFont="1"/>
    <xf numFmtId="164" fontId="18" fillId="0" borderId="2" xfId="1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horizontal="left" indent="14"/>
    </xf>
    <xf numFmtId="0" fontId="1" fillId="0" borderId="0" xfId="0" applyFont="1" applyFill="1"/>
    <xf numFmtId="0" fontId="3" fillId="0" borderId="0" xfId="0" applyFont="1" applyAlignment="1">
      <alignment horizontal="left" wrapText="1"/>
    </xf>
    <xf numFmtId="0" fontId="1" fillId="0" borderId="2" xfId="0" applyFont="1" applyFill="1" applyBorder="1"/>
    <xf numFmtId="0" fontId="19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 applyFill="1"/>
    <xf numFmtId="164" fontId="4" fillId="0" borderId="2" xfId="0" applyNumberFormat="1" applyFont="1" applyBorder="1" applyAlignment="1">
      <alignment horizontal="right"/>
    </xf>
    <xf numFmtId="164" fontId="19" fillId="0" borderId="2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Alignment="1"/>
    <xf numFmtId="164" fontId="1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0" borderId="0" xfId="0" applyNumberFormat="1" applyFont="1" applyAlignment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0" borderId="2" xfId="0" applyFont="1" applyBorder="1" applyAlignment="1">
      <alignment horizontal="left" indent="6"/>
    </xf>
    <xf numFmtId="165" fontId="1" fillId="0" borderId="2" xfId="0" applyNumberFormat="1" applyFont="1" applyBorder="1" applyAlignment="1"/>
    <xf numFmtId="164" fontId="1" fillId="0" borderId="2" xfId="0" applyNumberFormat="1" applyFont="1" applyBorder="1" applyAlignment="1">
      <alignment wrapText="1"/>
    </xf>
    <xf numFmtId="0" fontId="4" fillId="0" borderId="2" xfId="0" applyFont="1" applyBorder="1" applyAlignment="1"/>
    <xf numFmtId="165" fontId="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165" fontId="4" fillId="0" borderId="2" xfId="0" applyNumberFormat="1" applyFont="1" applyBorder="1" applyAlignment="1"/>
    <xf numFmtId="0" fontId="10" fillId="0" borderId="0" xfId="0" applyFont="1" applyAlignment="1">
      <alignment horizontal="center" wrapText="1"/>
    </xf>
    <xf numFmtId="164" fontId="4" fillId="0" borderId="2" xfId="0" applyNumberFormat="1" applyFont="1" applyBorder="1" applyAlignment="1">
      <alignment wrapText="1"/>
    </xf>
    <xf numFmtId="165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 indent="2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164" fontId="10" fillId="0" borderId="2" xfId="0" applyNumberFormat="1" applyFont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/>
    <xf numFmtId="0" fontId="1" fillId="0" borderId="2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4"/>
    </xf>
    <xf numFmtId="0" fontId="1" fillId="0" borderId="0" xfId="0" applyFont="1" applyAlignment="1">
      <alignment horizontal="left" indent="1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wrapText="1"/>
    </xf>
    <xf numFmtId="3" fontId="1" fillId="0" borderId="0" xfId="0" applyNumberFormat="1" applyFont="1" applyFill="1"/>
    <xf numFmtId="165" fontId="10" fillId="0" borderId="2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20" fillId="0" borderId="2" xfId="0" applyNumberFormat="1" applyFont="1" applyFill="1" applyBorder="1" applyAlignment="1">
      <alignment horizontal="center"/>
    </xf>
    <xf numFmtId="0" fontId="20" fillId="0" borderId="0" xfId="0" applyFont="1" applyAlignment="1"/>
    <xf numFmtId="0" fontId="26" fillId="0" borderId="2" xfId="0" applyFont="1" applyFill="1" applyBorder="1" applyAlignment="1">
      <alignment wrapText="1"/>
    </xf>
    <xf numFmtId="3" fontId="1" fillId="0" borderId="0" xfId="0" applyNumberFormat="1" applyFont="1" applyFill="1" applyAlignment="1"/>
    <xf numFmtId="0" fontId="3" fillId="0" borderId="0" xfId="0" applyFont="1" applyAlignment="1">
      <alignment horizontal="left" wrapText="1" indent="13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3"/>
    </xf>
    <xf numFmtId="16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0" fontId="1" fillId="0" borderId="0" xfId="3" applyFont="1" applyAlignment="1">
      <alignment horizontal="right" wrapText="1"/>
    </xf>
    <xf numFmtId="0" fontId="1" fillId="0" borderId="0" xfId="3" applyFont="1" applyAlignment="1">
      <alignment wrapText="1"/>
    </xf>
    <xf numFmtId="0" fontId="6" fillId="0" borderId="0" xfId="3" applyFont="1" applyFill="1" applyBorder="1" applyAlignment="1">
      <alignment horizontal="left" wrapText="1"/>
    </xf>
    <xf numFmtId="0" fontId="1" fillId="0" borderId="0" xfId="3" applyFont="1" applyFill="1" applyBorder="1" applyAlignment="1">
      <alignment horizontal="left" wrapText="1"/>
    </xf>
    <xf numFmtId="0" fontId="1" fillId="0" borderId="5" xfId="3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2" fillId="0" borderId="0" xfId="3" applyFont="1" applyAlignment="1">
      <alignment wrapText="1"/>
    </xf>
    <xf numFmtId="0" fontId="1" fillId="0" borderId="49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0" fontId="1" fillId="0" borderId="49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4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7" fontId="10" fillId="0" borderId="2" xfId="0" applyNumberFormat="1" applyFont="1" applyBorder="1" applyAlignment="1">
      <alignment vertical="center"/>
    </xf>
    <xf numFmtId="0" fontId="19" fillId="0" borderId="2" xfId="0" applyFont="1" applyBorder="1" applyAlignment="1">
      <alignment wrapText="1"/>
    </xf>
    <xf numFmtId="0" fontId="1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 indent="3"/>
    </xf>
    <xf numFmtId="0" fontId="10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165" fontId="19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9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1" fillId="0" borderId="0" xfId="3" applyFont="1" applyBorder="1" applyAlignment="1">
      <alignment horizontal="left" vertical="top" wrapText="1"/>
    </xf>
    <xf numFmtId="0" fontId="1" fillId="0" borderId="0" xfId="3" applyFont="1" applyBorder="1" applyAlignment="1">
      <alignment horizontal="right" vertical="top" wrapText="1"/>
    </xf>
    <xf numFmtId="0" fontId="1" fillId="0" borderId="0" xfId="3" applyFont="1" applyBorder="1" applyAlignment="1">
      <alignment horizontal="center" vertical="top" wrapText="1"/>
    </xf>
    <xf numFmtId="0" fontId="1" fillId="0" borderId="0" xfId="3" applyFont="1" applyBorder="1" applyAlignment="1">
      <alignment vertical="top" wrapText="1"/>
    </xf>
    <xf numFmtId="0" fontId="1" fillId="0" borderId="0" xfId="3" applyFont="1" applyBorder="1" applyAlignment="1">
      <alignment horizontal="center" vertical="center" wrapText="1"/>
    </xf>
    <xf numFmtId="49" fontId="1" fillId="0" borderId="2" xfId="3" applyNumberFormat="1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left" wrapText="1"/>
    </xf>
    <xf numFmtId="0" fontId="1" fillId="0" borderId="0" xfId="3" applyFont="1" applyAlignme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wrapText="1"/>
    </xf>
    <xf numFmtId="0" fontId="4" fillId="0" borderId="0" xfId="3" applyFont="1" applyAlignment="1">
      <alignment wrapText="1"/>
    </xf>
    <xf numFmtId="0" fontId="4" fillId="0" borderId="2" xfId="1" applyFont="1" applyBorder="1" applyAlignment="1">
      <alignment horizontal="right" wrapText="1"/>
    </xf>
    <xf numFmtId="4" fontId="1" fillId="0" borderId="2" xfId="3" applyNumberFormat="1" applyFont="1" applyBorder="1" applyAlignment="1">
      <alignment wrapText="1"/>
    </xf>
    <xf numFmtId="4" fontId="4" fillId="0" borderId="2" xfId="3" applyNumberFormat="1" applyFont="1" applyBorder="1" applyAlignment="1">
      <alignment wrapText="1"/>
    </xf>
    <xf numFmtId="4" fontId="1" fillId="0" borderId="2" xfId="3" applyNumberFormat="1" applyFont="1" applyBorder="1" applyAlignment="1">
      <alignment horizontal="center" wrapText="1"/>
    </xf>
    <xf numFmtId="4" fontId="4" fillId="0" borderId="2" xfId="3" applyNumberFormat="1" applyFont="1" applyBorder="1" applyAlignment="1">
      <alignment horizontal="center" wrapText="1"/>
    </xf>
    <xf numFmtId="0" fontId="7" fillId="0" borderId="2" xfId="1" applyFont="1" applyBorder="1" applyAlignment="1">
      <alignment wrapText="1"/>
    </xf>
    <xf numFmtId="4" fontId="7" fillId="0" borderId="2" xfId="3" applyNumberFormat="1" applyFont="1" applyBorder="1" applyAlignment="1">
      <alignment wrapText="1"/>
    </xf>
    <xf numFmtId="4" fontId="7" fillId="0" borderId="2" xfId="3" applyNumberFormat="1" applyFont="1" applyBorder="1" applyAlignment="1">
      <alignment horizontal="center" wrapText="1"/>
    </xf>
    <xf numFmtId="0" fontId="7" fillId="0" borderId="0" xfId="3" applyFont="1" applyAlignment="1">
      <alignment wrapText="1"/>
    </xf>
    <xf numFmtId="0" fontId="1" fillId="0" borderId="2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7" fillId="0" borderId="2" xfId="1" applyFont="1" applyBorder="1" applyAlignment="1">
      <alignment horizontal="right" wrapText="1"/>
    </xf>
    <xf numFmtId="4" fontId="1" fillId="0" borderId="0" xfId="3" applyNumberFormat="1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0" fillId="0" borderId="2" xfId="0" applyFont="1" applyFill="1" applyBorder="1" applyAlignment="1">
      <alignment horizontal="left" wrapText="1"/>
    </xf>
    <xf numFmtId="165" fontId="25" fillId="0" borderId="2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left" wrapText="1"/>
    </xf>
    <xf numFmtId="164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3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9" fontId="1" fillId="0" borderId="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0" xfId="0" applyFont="1" applyAlignment="1">
      <alignment horizontal="center"/>
    </xf>
    <xf numFmtId="164" fontId="19" fillId="0" borderId="2" xfId="0" applyNumberFormat="1" applyFont="1" applyFill="1" applyBorder="1" applyAlignment="1"/>
    <xf numFmtId="164" fontId="4" fillId="0" borderId="2" xfId="0" applyNumberFormat="1" applyFont="1" applyFill="1" applyBorder="1" applyAlignment="1"/>
    <xf numFmtId="164" fontId="19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/>
    <xf numFmtId="164" fontId="1" fillId="0" borderId="2" xfId="0" applyNumberFormat="1" applyFont="1" applyFill="1" applyBorder="1" applyAlignment="1"/>
    <xf numFmtId="0" fontId="1" fillId="0" borderId="6" xfId="0" applyFont="1" applyFill="1" applyBorder="1" applyAlignment="1"/>
    <xf numFmtId="0" fontId="1" fillId="0" borderId="5" xfId="3" applyFont="1" applyFill="1" applyBorder="1" applyAlignment="1">
      <alignment wrapText="1"/>
    </xf>
    <xf numFmtId="0" fontId="3" fillId="0" borderId="0" xfId="3" applyFont="1" applyFill="1" applyBorder="1" applyAlignment="1">
      <alignment horizontal="center" wrapText="1"/>
    </xf>
    <xf numFmtId="0" fontId="1" fillId="0" borderId="0" xfId="3" applyFont="1" applyFill="1" applyAlignment="1">
      <alignment wrapText="1"/>
    </xf>
    <xf numFmtId="0" fontId="1" fillId="3" borderId="0" xfId="3" applyFont="1" applyFill="1" applyBorder="1" applyAlignment="1">
      <alignment horizontal="center" vertical="top" wrapText="1"/>
    </xf>
    <xf numFmtId="0" fontId="1" fillId="3" borderId="0" xfId="3" applyFont="1" applyFill="1" applyBorder="1" applyAlignment="1">
      <alignment horizontal="center" vertical="center" wrapText="1"/>
    </xf>
    <xf numFmtId="4" fontId="1" fillId="3" borderId="2" xfId="3" applyNumberFormat="1" applyFont="1" applyFill="1" applyBorder="1" applyAlignment="1">
      <alignment wrapText="1"/>
    </xf>
    <xf numFmtId="4" fontId="4" fillId="3" borderId="2" xfId="3" applyNumberFormat="1" applyFont="1" applyFill="1" applyBorder="1" applyAlignment="1">
      <alignment wrapText="1"/>
    </xf>
    <xf numFmtId="4" fontId="7" fillId="3" borderId="2" xfId="3" applyNumberFormat="1" applyFont="1" applyFill="1" applyBorder="1" applyAlignment="1">
      <alignment wrapText="1"/>
    </xf>
    <xf numFmtId="4" fontId="1" fillId="3" borderId="0" xfId="3" applyNumberFormat="1" applyFont="1" applyFill="1" applyBorder="1" applyAlignment="1">
      <alignment wrapText="1"/>
    </xf>
    <xf numFmtId="0" fontId="3" fillId="3" borderId="0" xfId="3" applyFont="1" applyFill="1" applyBorder="1" applyAlignment="1">
      <alignment horizontal="center" wrapText="1"/>
    </xf>
    <xf numFmtId="0" fontId="1" fillId="3" borderId="6" xfId="3" applyFont="1" applyFill="1" applyBorder="1" applyAlignment="1">
      <alignment horizontal="center" wrapText="1"/>
    </xf>
    <xf numFmtId="0" fontId="1" fillId="3" borderId="0" xfId="3" applyFont="1" applyFill="1" applyAlignment="1">
      <alignment wrapText="1"/>
    </xf>
    <xf numFmtId="164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2" xfId="3" applyFont="1" applyFill="1" applyBorder="1" applyAlignment="1">
      <alignment wrapText="1"/>
    </xf>
    <xf numFmtId="164" fontId="10" fillId="0" borderId="0" xfId="0" applyNumberFormat="1" applyFont="1"/>
    <xf numFmtId="0" fontId="1" fillId="0" borderId="2" xfId="0" applyFont="1" applyFill="1" applyBorder="1" applyAlignment="1">
      <alignment horizontal="left" wrapText="1" indent="3"/>
    </xf>
    <xf numFmtId="0" fontId="1" fillId="0" borderId="2" xfId="0" applyFont="1" applyFill="1" applyBorder="1" applyAlignment="1"/>
    <xf numFmtId="0" fontId="10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1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wrapText="1"/>
    </xf>
    <xf numFmtId="0" fontId="20" fillId="0" borderId="0" xfId="0" applyFont="1" applyFill="1"/>
    <xf numFmtId="164" fontId="1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vertical="center"/>
    </xf>
    <xf numFmtId="164" fontId="1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2" fillId="0" borderId="2" xfId="4" applyFont="1" applyFill="1" applyBorder="1"/>
    <xf numFmtId="0" fontId="32" fillId="0" borderId="2" xfId="4" applyFont="1" applyFill="1" applyBorder="1" applyAlignment="1">
      <alignment wrapText="1"/>
    </xf>
    <xf numFmtId="0" fontId="32" fillId="0" borderId="2" xfId="4" applyFont="1" applyFill="1" applyBorder="1" applyAlignment="1">
      <alignment horizontal="center"/>
    </xf>
    <xf numFmtId="164" fontId="10" fillId="0" borderId="2" xfId="0" applyNumberFormat="1" applyFont="1" applyFill="1" applyBorder="1"/>
    <xf numFmtId="0" fontId="3" fillId="0" borderId="0" xfId="3" applyFont="1" applyFill="1" applyAlignment="1">
      <alignment wrapText="1"/>
    </xf>
    <xf numFmtId="164" fontId="11" fillId="0" borderId="2" xfId="0" applyNumberFormat="1" applyFont="1" applyFill="1" applyBorder="1"/>
    <xf numFmtId="0" fontId="32" fillId="0" borderId="0" xfId="4" applyFont="1" applyFill="1" applyBorder="1"/>
    <xf numFmtId="0" fontId="32" fillId="0" borderId="0" xfId="4" applyFont="1" applyFill="1" applyBorder="1" applyAlignment="1">
      <alignment wrapText="1"/>
    </xf>
    <xf numFmtId="165" fontId="32" fillId="0" borderId="0" xfId="4" applyNumberFormat="1" applyFont="1" applyFill="1" applyBorder="1"/>
    <xf numFmtId="0" fontId="1" fillId="0" borderId="0" xfId="3" applyFont="1" applyFill="1" applyAlignment="1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center" wrapText="1"/>
    </xf>
    <xf numFmtId="0" fontId="31" fillId="0" borderId="2" xfId="4" applyFont="1" applyFill="1" applyBorder="1"/>
    <xf numFmtId="0" fontId="31" fillId="0" borderId="2" xfId="4" applyFont="1" applyFill="1" applyBorder="1" applyAlignment="1">
      <alignment wrapText="1"/>
    </xf>
    <xf numFmtId="164" fontId="10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horizontal="right"/>
    </xf>
    <xf numFmtId="0" fontId="3" fillId="0" borderId="6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wrapText="1"/>
    </xf>
    <xf numFmtId="0" fontId="1" fillId="0" borderId="0" xfId="3" applyFont="1" applyFill="1" applyAlignment="1">
      <alignment horizontal="center" wrapText="1"/>
    </xf>
    <xf numFmtId="0" fontId="32" fillId="0" borderId="0" xfId="4" applyFont="1" applyFill="1" applyBorder="1" applyAlignment="1">
      <alignment horizontal="center"/>
    </xf>
    <xf numFmtId="164" fontId="11" fillId="0" borderId="0" xfId="0" applyNumberFormat="1" applyFont="1" applyFill="1" applyBorder="1"/>
    <xf numFmtId="164" fontId="10" fillId="0" borderId="0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49" fontId="19" fillId="0" borderId="2" xfId="0" applyNumberFormat="1" applyFont="1" applyFill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 indent="2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3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29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9" fontId="1" fillId="3" borderId="2" xfId="3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3" fillId="0" borderId="0" xfId="3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/>
    <xf numFmtId="0" fontId="1" fillId="0" borderId="7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164" fontId="1" fillId="0" borderId="15" xfId="0" applyNumberFormat="1" applyFont="1" applyFill="1" applyBorder="1" applyAlignment="1">
      <alignment horizontal="right"/>
    </xf>
    <xf numFmtId="164" fontId="1" fillId="0" borderId="4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1" fillId="0" borderId="0" xfId="1" applyFont="1" applyFill="1" applyAlignment="1">
      <alignment vertical="center" wrapText="1"/>
    </xf>
    <xf numFmtId="0" fontId="1" fillId="0" borderId="0" xfId="1" applyFont="1" applyFill="1"/>
    <xf numFmtId="0" fontId="4" fillId="0" borderId="0" xfId="1" applyFont="1" applyFill="1"/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0" fontId="15" fillId="0" borderId="0" xfId="0" applyFont="1" applyFill="1"/>
    <xf numFmtId="3" fontId="1" fillId="0" borderId="50" xfId="2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wrapText="1"/>
    </xf>
    <xf numFmtId="0" fontId="10" fillId="0" borderId="0" xfId="0" applyFont="1" applyFill="1" applyAlignment="1"/>
    <xf numFmtId="3" fontId="28" fillId="0" borderId="0" xfId="0" applyNumberFormat="1" applyFont="1" applyFill="1"/>
    <xf numFmtId="4" fontId="30" fillId="0" borderId="6" xfId="0" applyNumberFormat="1" applyFont="1" applyFill="1" applyBorder="1"/>
    <xf numFmtId="4" fontId="30" fillId="0" borderId="0" xfId="0" applyNumberFormat="1" applyFont="1" applyFill="1"/>
    <xf numFmtId="4" fontId="29" fillId="0" borderId="0" xfId="0" applyNumberFormat="1" applyFont="1" applyFill="1" applyBorder="1"/>
    <xf numFmtId="4" fontId="29" fillId="0" borderId="0" xfId="0" applyNumberFormat="1" applyFont="1" applyFill="1"/>
    <xf numFmtId="0" fontId="1" fillId="0" borderId="0" xfId="0" applyFont="1" applyFill="1" applyAlignment="1">
      <alignment horizontal="left" indent="6"/>
    </xf>
    <xf numFmtId="0" fontId="1" fillId="0" borderId="0" xfId="0" applyFont="1" applyFill="1" applyAlignment="1">
      <alignment horizontal="left" wrapText="1" indent="13"/>
    </xf>
    <xf numFmtId="0" fontId="1" fillId="0" borderId="0" xfId="0" applyFont="1" applyFill="1" applyAlignment="1">
      <alignment horizontal="left" wrapText="1" indent="2"/>
    </xf>
    <xf numFmtId="0" fontId="1" fillId="0" borderId="0" xfId="0" applyFont="1" applyFill="1" applyAlignment="1">
      <alignment horizontal="left" indent="13"/>
    </xf>
    <xf numFmtId="0" fontId="1" fillId="0" borderId="0" xfId="3" applyFont="1" applyFill="1" applyAlignment="1">
      <alignment horizontal="left" wrapText="1"/>
    </xf>
    <xf numFmtId="4" fontId="1" fillId="0" borderId="0" xfId="3" applyNumberFormat="1" applyFont="1" applyFill="1" applyAlignment="1">
      <alignment wrapText="1"/>
    </xf>
    <xf numFmtId="0" fontId="1" fillId="0" borderId="6" xfId="3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/>
    <xf numFmtId="4" fontId="1" fillId="0" borderId="2" xfId="3" applyNumberFormat="1" applyFont="1" applyFill="1" applyBorder="1" applyAlignment="1">
      <alignment wrapText="1"/>
    </xf>
    <xf numFmtId="0" fontId="7" fillId="0" borderId="2" xfId="3" applyFont="1" applyFill="1" applyBorder="1" applyAlignment="1">
      <alignment wrapText="1"/>
    </xf>
    <xf numFmtId="0" fontId="1" fillId="3" borderId="5" xfId="3" applyFont="1" applyFill="1" applyBorder="1" applyAlignment="1">
      <alignment wrapText="1"/>
    </xf>
    <xf numFmtId="0" fontId="1" fillId="3" borderId="0" xfId="3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/>
    </xf>
    <xf numFmtId="164" fontId="10" fillId="0" borderId="0" xfId="0" applyNumberFormat="1" applyFont="1" applyFill="1"/>
    <xf numFmtId="0" fontId="10" fillId="0" borderId="0" xfId="0" applyFont="1" applyAlignment="1"/>
    <xf numFmtId="164" fontId="1" fillId="0" borderId="2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6" xfId="3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3" applyFont="1" applyFill="1" applyAlignment="1">
      <alignment horizontal="right" wrapText="1"/>
    </xf>
    <xf numFmtId="0" fontId="1" fillId="0" borderId="0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wrapText="1"/>
    </xf>
    <xf numFmtId="0" fontId="4" fillId="0" borderId="2" xfId="3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/>
    </xf>
    <xf numFmtId="164" fontId="1" fillId="0" borderId="36" xfId="0" applyNumberFormat="1" applyFont="1" applyBorder="1" applyAlignment="1">
      <alignment vertical="center"/>
    </xf>
    <xf numFmtId="164" fontId="1" fillId="0" borderId="51" xfId="0" applyNumberFormat="1" applyFont="1" applyBorder="1" applyAlignment="1">
      <alignment vertical="center"/>
    </xf>
    <xf numFmtId="164" fontId="1" fillId="0" borderId="0" xfId="0" applyNumberFormat="1" applyFont="1" applyAlignment="1">
      <alignment horizontal="left"/>
    </xf>
    <xf numFmtId="0" fontId="13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164" fontId="10" fillId="0" borderId="5" xfId="0" applyNumberFormat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vertical="top" wrapText="1" indent="9"/>
    </xf>
    <xf numFmtId="0" fontId="10" fillId="0" borderId="0" xfId="0" applyFont="1" applyAlignment="1">
      <alignment horizontal="left" vertical="top" indent="2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1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35" xfId="1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1" fillId="0" borderId="35" xfId="1" applyFont="1" applyBorder="1" applyAlignment="1">
      <alignment horizont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35" xfId="1" applyFont="1" applyFill="1" applyBorder="1" applyAlignment="1">
      <alignment horizontal="center" wrapText="1"/>
    </xf>
    <xf numFmtId="0" fontId="18" fillId="0" borderId="1" xfId="1" applyFont="1" applyBorder="1" applyAlignment="1">
      <alignment horizontal="center" wrapText="1"/>
    </xf>
    <xf numFmtId="0" fontId="18" fillId="0" borderId="35" xfId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wrapText="1"/>
    </xf>
    <xf numFmtId="0" fontId="1" fillId="0" borderId="5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wrapText="1"/>
    </xf>
    <xf numFmtId="0" fontId="3" fillId="0" borderId="6" xfId="3" applyFont="1" applyFill="1" applyBorder="1" applyAlignment="1">
      <alignment horizontal="center" wrapText="1"/>
    </xf>
    <xf numFmtId="0" fontId="1" fillId="0" borderId="6" xfId="3" applyFont="1" applyFill="1" applyBorder="1" applyAlignment="1">
      <alignment horizontal="center" wrapText="1"/>
    </xf>
    <xf numFmtId="0" fontId="2" fillId="0" borderId="0" xfId="3" applyFont="1" applyBorder="1" applyAlignment="1">
      <alignment horizontal="center" vertical="center" wrapText="1"/>
    </xf>
    <xf numFmtId="49" fontId="1" fillId="0" borderId="2" xfId="3" applyNumberFormat="1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49" fontId="1" fillId="0" borderId="3" xfId="3" applyNumberFormat="1" applyFont="1" applyFill="1" applyBorder="1" applyAlignment="1">
      <alignment horizontal="center" vertical="center" wrapText="1"/>
    </xf>
    <xf numFmtId="49" fontId="1" fillId="0" borderId="33" xfId="3" applyNumberFormat="1" applyFont="1" applyFill="1" applyBorder="1" applyAlignment="1">
      <alignment horizontal="center" vertical="center" wrapText="1"/>
    </xf>
    <xf numFmtId="49" fontId="1" fillId="0" borderId="37" xfId="3" applyNumberFormat="1" applyFont="1" applyFill="1" applyBorder="1" applyAlignment="1">
      <alignment horizontal="center" vertical="center" wrapText="1"/>
    </xf>
    <xf numFmtId="49" fontId="1" fillId="0" borderId="38" xfId="3" applyNumberFormat="1" applyFont="1" applyFill="1" applyBorder="1" applyAlignment="1">
      <alignment horizontal="center" vertical="center" wrapText="1"/>
    </xf>
    <xf numFmtId="49" fontId="1" fillId="0" borderId="4" xfId="3" applyNumberFormat="1" applyFont="1" applyFill="1" applyBorder="1" applyAlignment="1">
      <alignment horizontal="center" vertical="center" wrapText="1"/>
    </xf>
    <xf numFmtId="49" fontId="1" fillId="0" borderId="39" xfId="3" applyNumberFormat="1" applyFont="1" applyFill="1" applyBorder="1" applyAlignment="1">
      <alignment horizontal="center" vertical="center" wrapText="1"/>
    </xf>
    <xf numFmtId="49" fontId="1" fillId="3" borderId="2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1" fillId="0" borderId="3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/>
    <xf numFmtId="49" fontId="1" fillId="0" borderId="29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1" fillId="0" borderId="5" xfId="3" applyFont="1" applyBorder="1" applyAlignment="1">
      <alignment horizontal="center" wrapText="1"/>
    </xf>
    <xf numFmtId="0" fontId="3" fillId="0" borderId="6" xfId="3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0" borderId="0" xfId="3" applyFont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</cellXfs>
  <cellStyles count="5">
    <cellStyle name="Excel Built-in Normal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zoomScale="90" zoomScaleNormal="90" workbookViewId="0">
      <selection activeCell="A12" sqref="A12"/>
    </sheetView>
  </sheetViews>
  <sheetFormatPr defaultColWidth="9.109375" defaultRowHeight="15.6" x14ac:dyDescent="0.3"/>
  <cols>
    <col min="1" max="1" width="41.88671875" style="57" customWidth="1"/>
    <col min="2" max="5" width="12.88671875" style="57" customWidth="1"/>
    <col min="6" max="6" width="2" style="57" customWidth="1"/>
    <col min="7" max="7" width="12.88671875" style="57" customWidth="1"/>
    <col min="8" max="8" width="1.88671875" style="57" customWidth="1"/>
    <col min="9" max="10" width="12.88671875" style="57" customWidth="1"/>
    <col min="11" max="16384" width="9.109375" style="57"/>
  </cols>
  <sheetData>
    <row r="1" spans="1:10" x14ac:dyDescent="0.3">
      <c r="G1" s="66" t="s">
        <v>149</v>
      </c>
    </row>
    <row r="2" spans="1:10" x14ac:dyDescent="0.3">
      <c r="D2" s="57" t="s">
        <v>177</v>
      </c>
    </row>
    <row r="3" spans="1:10" x14ac:dyDescent="0.3">
      <c r="D3" s="57" t="s">
        <v>150</v>
      </c>
    </row>
    <row r="4" spans="1:10" x14ac:dyDescent="0.3">
      <c r="D4" s="65" t="s">
        <v>151</v>
      </c>
      <c r="E4" s="65"/>
      <c r="G4" s="65"/>
      <c r="I4" s="503" t="s">
        <v>153</v>
      </c>
      <c r="J4" s="503"/>
    </row>
    <row r="5" spans="1:10" x14ac:dyDescent="0.3">
      <c r="D5" s="502" t="s">
        <v>152</v>
      </c>
      <c r="E5" s="502"/>
      <c r="F5" s="61"/>
      <c r="G5" s="68" t="s">
        <v>96</v>
      </c>
      <c r="H5" s="61"/>
      <c r="I5" s="502" t="s">
        <v>97</v>
      </c>
      <c r="J5" s="502"/>
    </row>
    <row r="6" spans="1:10" x14ac:dyDescent="0.3">
      <c r="D6" s="57" t="s">
        <v>154</v>
      </c>
      <c r="J6" s="67" t="s">
        <v>933</v>
      </c>
    </row>
    <row r="9" spans="1:10" s="69" customFormat="1" ht="17.399999999999999" x14ac:dyDescent="0.3">
      <c r="A9" s="505" t="s">
        <v>155</v>
      </c>
      <c r="B9" s="505"/>
      <c r="C9" s="505"/>
      <c r="D9" s="505"/>
      <c r="E9" s="505"/>
      <c r="F9" s="505"/>
      <c r="G9" s="505"/>
      <c r="H9" s="505"/>
      <c r="I9" s="505"/>
      <c r="J9" s="505"/>
    </row>
    <row r="10" spans="1:10" s="69" customFormat="1" ht="17.399999999999999" x14ac:dyDescent="0.3">
      <c r="A10" s="505" t="s">
        <v>789</v>
      </c>
      <c r="B10" s="505"/>
      <c r="C10" s="505"/>
      <c r="D10" s="505"/>
      <c r="E10" s="505"/>
      <c r="F10" s="505"/>
      <c r="G10" s="505"/>
      <c r="H10" s="505"/>
      <c r="I10" s="505"/>
      <c r="J10" s="505"/>
    </row>
    <row r="11" spans="1:10" s="69" customFormat="1" ht="17.399999999999999" x14ac:dyDescent="0.3">
      <c r="A11" s="505" t="s">
        <v>934</v>
      </c>
      <c r="B11" s="505"/>
      <c r="C11" s="505"/>
      <c r="D11" s="505"/>
      <c r="E11" s="505"/>
      <c r="F11" s="505"/>
      <c r="G11" s="505"/>
      <c r="H11" s="505"/>
      <c r="I11" s="505"/>
      <c r="J11" s="505"/>
    </row>
    <row r="12" spans="1:10" s="69" customFormat="1" ht="17.399999999999999" x14ac:dyDescent="0.3">
      <c r="A12" s="70"/>
      <c r="B12" s="70"/>
      <c r="C12" s="314"/>
      <c r="D12" s="70"/>
      <c r="E12" s="70"/>
      <c r="F12" s="70"/>
      <c r="G12" s="70"/>
      <c r="H12" s="70"/>
      <c r="I12" s="70"/>
      <c r="J12" s="70"/>
    </row>
    <row r="14" spans="1:10" x14ac:dyDescent="0.3">
      <c r="A14" s="504" t="s">
        <v>157</v>
      </c>
      <c r="B14" s="506" t="s">
        <v>796</v>
      </c>
      <c r="C14" s="506"/>
      <c r="D14" s="506"/>
      <c r="E14" s="506"/>
      <c r="F14" s="506"/>
      <c r="G14" s="506"/>
      <c r="H14" s="506"/>
      <c r="I14" s="506"/>
      <c r="J14" s="506"/>
    </row>
    <row r="15" spans="1:10" x14ac:dyDescent="0.3">
      <c r="A15" s="504"/>
      <c r="B15" s="506"/>
      <c r="C15" s="506"/>
      <c r="D15" s="506"/>
      <c r="E15" s="506"/>
      <c r="F15" s="506"/>
      <c r="G15" s="506"/>
      <c r="H15" s="506"/>
      <c r="I15" s="506"/>
      <c r="J15" s="506"/>
    </row>
    <row r="16" spans="1:10" x14ac:dyDescent="0.3">
      <c r="A16" s="504"/>
      <c r="B16" s="506"/>
      <c r="C16" s="506"/>
      <c r="D16" s="506"/>
      <c r="E16" s="506"/>
      <c r="F16" s="506"/>
      <c r="G16" s="506"/>
      <c r="H16" s="506"/>
      <c r="I16" s="506"/>
      <c r="J16" s="506"/>
    </row>
    <row r="17" spans="1:10" ht="31.2" x14ac:dyDescent="0.3">
      <c r="A17" s="71" t="s">
        <v>158</v>
      </c>
      <c r="B17" s="507" t="s">
        <v>139</v>
      </c>
      <c r="C17" s="507"/>
      <c r="D17" s="507"/>
      <c r="E17" s="507"/>
      <c r="F17" s="507"/>
      <c r="G17" s="507"/>
      <c r="H17" s="507"/>
      <c r="I17" s="507"/>
      <c r="J17" s="507"/>
    </row>
    <row r="18" spans="1:10" x14ac:dyDescent="0.3">
      <c r="A18" s="504" t="s">
        <v>159</v>
      </c>
      <c r="B18" s="509" t="s">
        <v>797</v>
      </c>
      <c r="C18" s="509"/>
      <c r="D18" s="509"/>
      <c r="E18" s="509"/>
      <c r="F18" s="509"/>
      <c r="G18" s="509"/>
      <c r="H18" s="509"/>
      <c r="I18" s="509"/>
      <c r="J18" s="509"/>
    </row>
    <row r="19" spans="1:10" x14ac:dyDescent="0.3">
      <c r="A19" s="504"/>
      <c r="B19" s="509"/>
      <c r="C19" s="509"/>
      <c r="D19" s="509"/>
      <c r="E19" s="509"/>
      <c r="F19" s="509"/>
      <c r="G19" s="509"/>
      <c r="H19" s="509"/>
      <c r="I19" s="509"/>
      <c r="J19" s="509"/>
    </row>
    <row r="20" spans="1:10" ht="31.2" x14ac:dyDescent="0.3">
      <c r="A20" s="71" t="s">
        <v>160</v>
      </c>
      <c r="B20" s="508">
        <v>4401023041</v>
      </c>
      <c r="C20" s="508"/>
      <c r="D20" s="508"/>
      <c r="E20" s="508"/>
      <c r="F20" s="508"/>
      <c r="G20" s="508"/>
      <c r="H20" s="508"/>
      <c r="I20" s="508"/>
      <c r="J20" s="508"/>
    </row>
    <row r="21" spans="1:10" x14ac:dyDescent="0.3">
      <c r="A21" s="71" t="s">
        <v>161</v>
      </c>
      <c r="B21" s="508">
        <v>440101001</v>
      </c>
      <c r="C21" s="508"/>
      <c r="D21" s="508"/>
      <c r="E21" s="508"/>
      <c r="F21" s="508"/>
      <c r="G21" s="508"/>
      <c r="H21" s="508"/>
      <c r="I21" s="508"/>
      <c r="J21" s="508"/>
    </row>
    <row r="22" spans="1:10" ht="62.4" x14ac:dyDescent="0.3">
      <c r="A22" s="71" t="s">
        <v>162</v>
      </c>
      <c r="B22" s="508">
        <v>34200703</v>
      </c>
      <c r="C22" s="508"/>
      <c r="D22" s="508"/>
      <c r="E22" s="508"/>
      <c r="F22" s="508"/>
      <c r="G22" s="508"/>
      <c r="H22" s="508"/>
      <c r="I22" s="508"/>
      <c r="J22" s="508"/>
    </row>
    <row r="23" spans="1:10" x14ac:dyDescent="0.3">
      <c r="A23" s="71" t="s">
        <v>164</v>
      </c>
      <c r="B23" s="508" t="s">
        <v>163</v>
      </c>
      <c r="C23" s="508"/>
      <c r="D23" s="508"/>
      <c r="E23" s="508"/>
      <c r="F23" s="508"/>
      <c r="G23" s="508"/>
      <c r="H23" s="508"/>
      <c r="I23" s="508"/>
      <c r="J23" s="508"/>
    </row>
    <row r="24" spans="1:10" x14ac:dyDescent="0.3">
      <c r="A24" s="72"/>
      <c r="B24" s="72"/>
      <c r="C24" s="313"/>
      <c r="D24" s="72"/>
      <c r="E24" s="72"/>
      <c r="F24" s="72"/>
      <c r="G24" s="72"/>
      <c r="H24" s="72"/>
      <c r="I24" s="72"/>
      <c r="J24" s="72"/>
    </row>
    <row r="25" spans="1:10" x14ac:dyDescent="0.3">
      <c r="A25" s="71" t="s">
        <v>165</v>
      </c>
      <c r="B25" s="504" t="s">
        <v>884</v>
      </c>
      <c r="C25" s="504"/>
      <c r="D25" s="504"/>
      <c r="E25" s="504"/>
      <c r="F25" s="504"/>
      <c r="G25" s="504"/>
      <c r="H25" s="504"/>
      <c r="I25" s="504"/>
      <c r="J25" s="504"/>
    </row>
    <row r="26" spans="1:10" x14ac:dyDescent="0.3">
      <c r="A26" s="72"/>
      <c r="B26" s="504"/>
      <c r="C26" s="504"/>
      <c r="D26" s="504"/>
      <c r="E26" s="504"/>
      <c r="F26" s="504"/>
      <c r="G26" s="504"/>
      <c r="H26" s="504"/>
      <c r="I26" s="504"/>
      <c r="J26" s="504"/>
    </row>
    <row r="27" spans="1:10" x14ac:dyDescent="0.3">
      <c r="A27" s="72"/>
      <c r="B27" s="504"/>
      <c r="C27" s="504"/>
      <c r="D27" s="504"/>
      <c r="E27" s="504"/>
      <c r="F27" s="504"/>
      <c r="G27" s="504"/>
      <c r="H27" s="504"/>
      <c r="I27" s="504"/>
      <c r="J27" s="504"/>
    </row>
    <row r="28" spans="1:10" x14ac:dyDescent="0.3">
      <c r="A28" s="72"/>
      <c r="B28" s="504"/>
      <c r="C28" s="504"/>
      <c r="D28" s="504"/>
      <c r="E28" s="504"/>
      <c r="F28" s="504"/>
      <c r="G28" s="504"/>
      <c r="H28" s="504"/>
      <c r="I28" s="504"/>
      <c r="J28" s="504"/>
    </row>
    <row r="30" spans="1:10" x14ac:dyDescent="0.3">
      <c r="A30" s="504" t="s">
        <v>166</v>
      </c>
      <c r="B30" s="504" t="s">
        <v>885</v>
      </c>
      <c r="C30" s="504"/>
      <c r="D30" s="504"/>
      <c r="E30" s="504"/>
      <c r="F30" s="504"/>
      <c r="G30" s="504"/>
      <c r="H30" s="504"/>
      <c r="I30" s="504"/>
      <c r="J30" s="504"/>
    </row>
    <row r="31" spans="1:10" x14ac:dyDescent="0.3">
      <c r="A31" s="504"/>
      <c r="B31" s="504"/>
      <c r="C31" s="504"/>
      <c r="D31" s="504"/>
      <c r="E31" s="504"/>
      <c r="F31" s="504"/>
      <c r="G31" s="504"/>
      <c r="H31" s="504"/>
      <c r="I31" s="504"/>
      <c r="J31" s="504"/>
    </row>
    <row r="32" spans="1:10" x14ac:dyDescent="0.3">
      <c r="A32" s="504"/>
      <c r="B32" s="504"/>
      <c r="C32" s="504"/>
      <c r="D32" s="504"/>
      <c r="E32" s="504"/>
      <c r="F32" s="504"/>
      <c r="G32" s="504"/>
      <c r="H32" s="504"/>
      <c r="I32" s="504"/>
      <c r="J32" s="504"/>
    </row>
    <row r="33" spans="1:10" x14ac:dyDescent="0.3">
      <c r="A33" s="504"/>
      <c r="B33" s="504"/>
      <c r="C33" s="504"/>
      <c r="D33" s="504"/>
      <c r="E33" s="504"/>
      <c r="F33" s="504"/>
      <c r="G33" s="504"/>
      <c r="H33" s="504"/>
      <c r="I33" s="504"/>
      <c r="J33" s="504"/>
    </row>
    <row r="34" spans="1:10" x14ac:dyDescent="0.3">
      <c r="B34" s="504"/>
      <c r="C34" s="504"/>
      <c r="D34" s="504"/>
      <c r="E34" s="504"/>
      <c r="F34" s="504"/>
      <c r="G34" s="504"/>
      <c r="H34" s="504"/>
      <c r="I34" s="504"/>
      <c r="J34" s="504"/>
    </row>
    <row r="35" spans="1:10" x14ac:dyDescent="0.3">
      <c r="B35" s="504"/>
      <c r="C35" s="504"/>
      <c r="D35" s="504"/>
      <c r="E35" s="504"/>
      <c r="F35" s="504"/>
      <c r="G35" s="504"/>
      <c r="H35" s="504"/>
      <c r="I35" s="504"/>
      <c r="J35" s="504"/>
    </row>
    <row r="36" spans="1:10" x14ac:dyDescent="0.3">
      <c r="B36" s="504"/>
      <c r="C36" s="504"/>
      <c r="D36" s="504"/>
      <c r="E36" s="504"/>
      <c r="F36" s="504"/>
      <c r="G36" s="504"/>
      <c r="H36" s="504"/>
      <c r="I36" s="504"/>
      <c r="J36" s="504"/>
    </row>
    <row r="37" spans="1:10" x14ac:dyDescent="0.3">
      <c r="B37" s="504"/>
      <c r="C37" s="504"/>
      <c r="D37" s="504"/>
      <c r="E37" s="504"/>
      <c r="F37" s="504"/>
      <c r="G37" s="504"/>
      <c r="H37" s="504"/>
      <c r="I37" s="504"/>
      <c r="J37" s="504"/>
    </row>
    <row r="38" spans="1:10" x14ac:dyDescent="0.3">
      <c r="B38" s="504"/>
      <c r="C38" s="504"/>
      <c r="D38" s="504"/>
      <c r="E38" s="504"/>
      <c r="F38" s="504"/>
      <c r="G38" s="504"/>
      <c r="H38" s="504"/>
      <c r="I38" s="504"/>
      <c r="J38" s="504"/>
    </row>
    <row r="39" spans="1:10" x14ac:dyDescent="0.3">
      <c r="B39" s="504"/>
      <c r="C39" s="504"/>
      <c r="D39" s="504"/>
      <c r="E39" s="504"/>
      <c r="F39" s="504"/>
      <c r="G39" s="504"/>
      <c r="H39" s="504"/>
      <c r="I39" s="504"/>
      <c r="J39" s="504"/>
    </row>
    <row r="40" spans="1:10" x14ac:dyDescent="0.3">
      <c r="B40" s="504"/>
      <c r="C40" s="504"/>
      <c r="D40" s="504"/>
      <c r="E40" s="504"/>
      <c r="F40" s="504"/>
      <c r="G40" s="504"/>
      <c r="H40" s="504"/>
      <c r="I40" s="504"/>
      <c r="J40" s="504"/>
    </row>
    <row r="41" spans="1:10" x14ac:dyDescent="0.3">
      <c r="B41" s="504"/>
      <c r="C41" s="504"/>
      <c r="D41" s="504"/>
      <c r="E41" s="504"/>
      <c r="F41" s="504"/>
      <c r="G41" s="504"/>
      <c r="H41" s="504"/>
      <c r="I41" s="504"/>
      <c r="J41" s="504"/>
    </row>
    <row r="42" spans="1:10" x14ac:dyDescent="0.3">
      <c r="B42" s="504"/>
      <c r="C42" s="504"/>
      <c r="D42" s="504"/>
      <c r="E42" s="504"/>
      <c r="F42" s="504"/>
      <c r="G42" s="504"/>
      <c r="H42" s="504"/>
      <c r="I42" s="504"/>
      <c r="J42" s="504"/>
    </row>
    <row r="43" spans="1:10" x14ac:dyDescent="0.3">
      <c r="B43" s="504"/>
      <c r="C43" s="504"/>
      <c r="D43" s="504"/>
      <c r="E43" s="504"/>
      <c r="F43" s="504"/>
      <c r="G43" s="504"/>
      <c r="H43" s="504"/>
      <c r="I43" s="504"/>
      <c r="J43" s="504"/>
    </row>
    <row r="44" spans="1:10" x14ac:dyDescent="0.3">
      <c r="B44" s="504"/>
      <c r="C44" s="504"/>
      <c r="D44" s="504"/>
      <c r="E44" s="504"/>
      <c r="F44" s="504"/>
      <c r="G44" s="504"/>
      <c r="H44" s="504"/>
      <c r="I44" s="504"/>
      <c r="J44" s="504"/>
    </row>
    <row r="45" spans="1:10" x14ac:dyDescent="0.3">
      <c r="B45" s="504"/>
      <c r="C45" s="504"/>
      <c r="D45" s="504"/>
      <c r="E45" s="504"/>
      <c r="F45" s="504"/>
      <c r="G45" s="504"/>
      <c r="H45" s="504"/>
      <c r="I45" s="504"/>
      <c r="J45" s="504"/>
    </row>
    <row r="46" spans="1:10" x14ac:dyDescent="0.3">
      <c r="B46" s="504"/>
      <c r="C46" s="504"/>
      <c r="D46" s="504"/>
      <c r="E46" s="504"/>
      <c r="F46" s="504"/>
      <c r="G46" s="504"/>
      <c r="H46" s="504"/>
      <c r="I46" s="504"/>
      <c r="J46" s="504"/>
    </row>
    <row r="47" spans="1:10" x14ac:dyDescent="0.3">
      <c r="B47" s="504"/>
      <c r="C47" s="504"/>
      <c r="D47" s="504"/>
      <c r="E47" s="504"/>
      <c r="F47" s="504"/>
      <c r="G47" s="504"/>
      <c r="H47" s="504"/>
      <c r="I47" s="504"/>
      <c r="J47" s="504"/>
    </row>
    <row r="48" spans="1:10" x14ac:dyDescent="0.3">
      <c r="B48" s="504"/>
      <c r="C48" s="504"/>
      <c r="D48" s="504"/>
      <c r="E48" s="504"/>
      <c r="F48" s="504"/>
      <c r="G48" s="504"/>
      <c r="H48" s="504"/>
      <c r="I48" s="504"/>
      <c r="J48" s="504"/>
    </row>
    <row r="49" spans="1:10" x14ac:dyDescent="0.3">
      <c r="B49" s="504"/>
      <c r="C49" s="504"/>
      <c r="D49" s="504"/>
      <c r="E49" s="504"/>
      <c r="F49" s="504"/>
      <c r="G49" s="504"/>
      <c r="H49" s="504"/>
      <c r="I49" s="504"/>
      <c r="J49" s="504"/>
    </row>
    <row r="50" spans="1:10" x14ac:dyDescent="0.3">
      <c r="B50" s="504"/>
      <c r="C50" s="504"/>
      <c r="D50" s="504"/>
      <c r="E50" s="504"/>
      <c r="F50" s="504"/>
      <c r="G50" s="504"/>
      <c r="H50" s="504"/>
      <c r="I50" s="504"/>
      <c r="J50" s="504"/>
    </row>
    <row r="51" spans="1:10" x14ac:dyDescent="0.3">
      <c r="B51" s="504"/>
      <c r="C51" s="504"/>
      <c r="D51" s="504"/>
      <c r="E51" s="504"/>
      <c r="F51" s="504"/>
      <c r="G51" s="504"/>
      <c r="H51" s="504"/>
      <c r="I51" s="504"/>
      <c r="J51" s="504"/>
    </row>
    <row r="52" spans="1:10" x14ac:dyDescent="0.3">
      <c r="B52" s="504"/>
      <c r="C52" s="504"/>
      <c r="D52" s="504"/>
      <c r="E52" s="504"/>
      <c r="F52" s="504"/>
      <c r="G52" s="504"/>
      <c r="H52" s="504"/>
      <c r="I52" s="504"/>
      <c r="J52" s="504"/>
    </row>
    <row r="53" spans="1:10" x14ac:dyDescent="0.3">
      <c r="B53" s="504"/>
      <c r="C53" s="504"/>
      <c r="D53" s="504"/>
      <c r="E53" s="504"/>
      <c r="F53" s="504"/>
      <c r="G53" s="504"/>
      <c r="H53" s="504"/>
      <c r="I53" s="504"/>
      <c r="J53" s="504"/>
    </row>
    <row r="54" spans="1:10" x14ac:dyDescent="0.3">
      <c r="B54" s="504"/>
      <c r="C54" s="504"/>
      <c r="D54" s="504"/>
      <c r="E54" s="504"/>
      <c r="F54" s="504"/>
      <c r="G54" s="504"/>
      <c r="H54" s="504"/>
      <c r="I54" s="504"/>
      <c r="J54" s="504"/>
    </row>
    <row r="56" spans="1:10" x14ac:dyDescent="0.3">
      <c r="A56" s="504" t="s">
        <v>167</v>
      </c>
      <c r="B56" s="504" t="s">
        <v>889</v>
      </c>
      <c r="C56" s="504"/>
      <c r="D56" s="504"/>
      <c r="E56" s="504"/>
      <c r="F56" s="504"/>
      <c r="G56" s="504"/>
      <c r="H56" s="504"/>
      <c r="I56" s="504"/>
      <c r="J56" s="504"/>
    </row>
    <row r="57" spans="1:10" x14ac:dyDescent="0.3">
      <c r="A57" s="504"/>
      <c r="B57" s="504"/>
      <c r="C57" s="504"/>
      <c r="D57" s="504"/>
      <c r="E57" s="504"/>
      <c r="F57" s="504"/>
      <c r="G57" s="504"/>
      <c r="H57" s="504"/>
      <c r="I57" s="504"/>
      <c r="J57" s="504"/>
    </row>
    <row r="58" spans="1:10" x14ac:dyDescent="0.3">
      <c r="A58" s="504"/>
      <c r="B58" s="504"/>
      <c r="C58" s="504"/>
      <c r="D58" s="504"/>
      <c r="E58" s="504"/>
      <c r="F58" s="504"/>
      <c r="G58" s="504"/>
      <c r="H58" s="504"/>
      <c r="I58" s="504"/>
      <c r="J58" s="504"/>
    </row>
    <row r="59" spans="1:10" x14ac:dyDescent="0.3">
      <c r="A59" s="504"/>
      <c r="B59" s="504"/>
      <c r="C59" s="504"/>
      <c r="D59" s="504"/>
      <c r="E59" s="504"/>
      <c r="F59" s="504"/>
      <c r="G59" s="504"/>
      <c r="H59" s="504"/>
      <c r="I59" s="504"/>
      <c r="J59" s="504"/>
    </row>
    <row r="60" spans="1:10" x14ac:dyDescent="0.3">
      <c r="A60" s="504"/>
      <c r="B60" s="504"/>
      <c r="C60" s="504"/>
      <c r="D60" s="504"/>
      <c r="E60" s="504"/>
      <c r="F60" s="504"/>
      <c r="G60" s="504"/>
      <c r="H60" s="504"/>
      <c r="I60" s="504"/>
      <c r="J60" s="504"/>
    </row>
    <row r="61" spans="1:10" x14ac:dyDescent="0.3">
      <c r="A61" s="504"/>
      <c r="B61" s="504"/>
      <c r="C61" s="504"/>
      <c r="D61" s="504"/>
      <c r="E61" s="504"/>
      <c r="F61" s="504"/>
      <c r="G61" s="504"/>
      <c r="H61" s="504"/>
      <c r="I61" s="504"/>
      <c r="J61" s="504"/>
    </row>
    <row r="63" spans="1:10" x14ac:dyDescent="0.3">
      <c r="A63" s="511" t="s">
        <v>886</v>
      </c>
      <c r="B63" s="511"/>
      <c r="C63" s="511"/>
      <c r="D63" s="511"/>
      <c r="E63" s="511"/>
      <c r="G63" s="510">
        <v>57508200.280000001</v>
      </c>
      <c r="H63" s="510"/>
      <c r="I63" s="510"/>
      <c r="J63" s="66" t="s">
        <v>163</v>
      </c>
    </row>
    <row r="64" spans="1:10" x14ac:dyDescent="0.3">
      <c r="A64" s="511" t="s">
        <v>887</v>
      </c>
      <c r="B64" s="511"/>
      <c r="C64" s="511"/>
      <c r="D64" s="511"/>
      <c r="E64" s="511"/>
      <c r="G64" s="510">
        <v>32899421.559999999</v>
      </c>
      <c r="H64" s="510"/>
      <c r="I64" s="510"/>
      <c r="J64" s="66" t="s">
        <v>163</v>
      </c>
    </row>
    <row r="65" spans="1:10" x14ac:dyDescent="0.3">
      <c r="A65" s="512" t="s">
        <v>888</v>
      </c>
      <c r="B65" s="512"/>
      <c r="C65" s="512"/>
      <c r="D65" s="512"/>
      <c r="E65" s="512"/>
      <c r="G65" s="510">
        <v>17362546.170000002</v>
      </c>
      <c r="H65" s="510"/>
      <c r="I65" s="510"/>
      <c r="J65" s="66" t="s">
        <v>163</v>
      </c>
    </row>
    <row r="66" spans="1:10" ht="15.75" customHeight="1" x14ac:dyDescent="0.3">
      <c r="A66" s="504" t="s">
        <v>168</v>
      </c>
      <c r="B66" s="504"/>
      <c r="C66" s="504"/>
      <c r="D66" s="504"/>
      <c r="E66" s="504"/>
      <c r="G66" s="362"/>
      <c r="H66" s="362"/>
      <c r="I66" s="362"/>
      <c r="J66" s="66"/>
    </row>
    <row r="67" spans="1:10" x14ac:dyDescent="0.3">
      <c r="A67" s="504"/>
      <c r="B67" s="504"/>
      <c r="C67" s="504"/>
      <c r="D67" s="504"/>
      <c r="E67" s="504"/>
      <c r="G67" s="510">
        <v>22</v>
      </c>
      <c r="H67" s="510"/>
      <c r="I67" s="510"/>
      <c r="J67" s="66" t="s">
        <v>170</v>
      </c>
    </row>
    <row r="68" spans="1:10" x14ac:dyDescent="0.3">
      <c r="A68" s="509" t="s">
        <v>169</v>
      </c>
      <c r="B68" s="509"/>
      <c r="C68" s="509"/>
      <c r="D68" s="509"/>
      <c r="E68" s="509"/>
      <c r="G68" s="510">
        <v>7745</v>
      </c>
      <c r="H68" s="510"/>
      <c r="I68" s="510"/>
      <c r="J68" s="66" t="s">
        <v>171</v>
      </c>
    </row>
    <row r="69" spans="1:10" x14ac:dyDescent="0.3">
      <c r="A69" s="514" t="s">
        <v>173</v>
      </c>
      <c r="B69" s="514"/>
      <c r="C69" s="514"/>
      <c r="D69" s="514"/>
      <c r="E69" s="514"/>
      <c r="G69" s="510">
        <v>2511</v>
      </c>
      <c r="H69" s="510"/>
      <c r="I69" s="510"/>
      <c r="J69" s="66" t="s">
        <v>171</v>
      </c>
    </row>
    <row r="70" spans="1:10" ht="15.75" customHeight="1" x14ac:dyDescent="0.3">
      <c r="A70" s="513" t="s">
        <v>172</v>
      </c>
      <c r="B70" s="513"/>
      <c r="C70" s="513"/>
      <c r="D70" s="513"/>
      <c r="E70" s="513"/>
      <c r="G70" s="362"/>
      <c r="H70" s="362"/>
      <c r="I70" s="362"/>
      <c r="J70" s="66"/>
    </row>
    <row r="71" spans="1:10" x14ac:dyDescent="0.3">
      <c r="A71" s="513"/>
      <c r="B71" s="513"/>
      <c r="C71" s="513"/>
      <c r="D71" s="513"/>
      <c r="E71" s="513"/>
      <c r="G71" s="510">
        <v>0</v>
      </c>
      <c r="H71" s="510"/>
      <c r="I71" s="510"/>
      <c r="J71" s="66" t="s">
        <v>171</v>
      </c>
    </row>
  </sheetData>
  <mergeCells count="34">
    <mergeCell ref="G71:I71"/>
    <mergeCell ref="A70:E71"/>
    <mergeCell ref="A66:E67"/>
    <mergeCell ref="G67:I67"/>
    <mergeCell ref="A68:E68"/>
    <mergeCell ref="G68:I68"/>
    <mergeCell ref="A69:E69"/>
    <mergeCell ref="G69:I69"/>
    <mergeCell ref="G63:I63"/>
    <mergeCell ref="G64:I64"/>
    <mergeCell ref="G65:I65"/>
    <mergeCell ref="A63:E63"/>
    <mergeCell ref="A64:E64"/>
    <mergeCell ref="A65:E65"/>
    <mergeCell ref="B56:J61"/>
    <mergeCell ref="A56:A61"/>
    <mergeCell ref="B17:J17"/>
    <mergeCell ref="B20:J20"/>
    <mergeCell ref="B21:J21"/>
    <mergeCell ref="B22:J22"/>
    <mergeCell ref="B23:J23"/>
    <mergeCell ref="A18:A19"/>
    <mergeCell ref="B18:J19"/>
    <mergeCell ref="B25:J28"/>
    <mergeCell ref="A30:A33"/>
    <mergeCell ref="B30:J54"/>
    <mergeCell ref="D5:E5"/>
    <mergeCell ref="I5:J5"/>
    <mergeCell ref="I4:J4"/>
    <mergeCell ref="A14:A16"/>
    <mergeCell ref="A9:J9"/>
    <mergeCell ref="A10:J10"/>
    <mergeCell ref="A11:J11"/>
    <mergeCell ref="B14:J16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19"/>
  <sheetViews>
    <sheetView zoomScale="80" zoomScaleNormal="80" workbookViewId="0">
      <pane xSplit="3" ySplit="9" topLeftCell="D10" activePane="bottomRight" state="frozen"/>
      <selection activeCell="E35" sqref="E35"/>
      <selection pane="topRight" activeCell="E35" sqref="E35"/>
      <selection pane="bottomLeft" activeCell="E35" sqref="E35"/>
      <selection pane="bottomRight" activeCell="F14" sqref="F14"/>
    </sheetView>
  </sheetViews>
  <sheetFormatPr defaultRowHeight="15.6" x14ac:dyDescent="0.3"/>
  <cols>
    <col min="1" max="1" width="51.88671875" style="231" customWidth="1"/>
    <col min="2" max="2" width="7.44140625" style="231" customWidth="1"/>
    <col min="3" max="3" width="10.6640625" style="230" customWidth="1"/>
    <col min="4" max="4" width="27.88671875" style="231" customWidth="1"/>
    <col min="5" max="5" width="27.88671875" style="354" hidden="1" customWidth="1"/>
    <col min="6" max="6" width="26.109375" style="231" customWidth="1"/>
    <col min="7" max="7" width="19.88671875" style="231" customWidth="1"/>
    <col min="8" max="8" width="11.6640625" style="231" customWidth="1"/>
    <col min="9" max="9" width="35.6640625" style="345" customWidth="1"/>
    <col min="10" max="253" width="9.109375" style="231"/>
    <col min="254" max="254" width="9.6640625" style="231" customWidth="1"/>
    <col min="255" max="255" width="9.109375" style="231"/>
    <col min="256" max="256" width="8.6640625" style="231" customWidth="1"/>
    <col min="257" max="257" width="15" style="231" customWidth="1"/>
    <col min="258" max="258" width="7.44140625" style="231" customWidth="1"/>
    <col min="259" max="259" width="10.6640625" style="231" customWidth="1"/>
    <col min="260" max="260" width="27.88671875" style="231" customWidth="1"/>
    <col min="261" max="261" width="26.109375" style="231" customWidth="1"/>
    <col min="262" max="262" width="19.88671875" style="231" customWidth="1"/>
    <col min="263" max="263" width="11.6640625" style="231" customWidth="1"/>
    <col min="264" max="264" width="36.109375" style="231" customWidth="1"/>
    <col min="265" max="509" width="9.109375" style="231"/>
    <col min="510" max="510" width="9.6640625" style="231" customWidth="1"/>
    <col min="511" max="511" width="9.109375" style="231"/>
    <col min="512" max="512" width="8.6640625" style="231" customWidth="1"/>
    <col min="513" max="513" width="15" style="231" customWidth="1"/>
    <col min="514" max="514" width="7.44140625" style="231" customWidth="1"/>
    <col min="515" max="515" width="10.6640625" style="231" customWidth="1"/>
    <col min="516" max="516" width="27.88671875" style="231" customWidth="1"/>
    <col min="517" max="517" width="26.109375" style="231" customWidth="1"/>
    <col min="518" max="518" width="19.88671875" style="231" customWidth="1"/>
    <col min="519" max="519" width="11.6640625" style="231" customWidth="1"/>
    <col min="520" max="520" width="36.109375" style="231" customWidth="1"/>
    <col min="521" max="765" width="9.109375" style="231"/>
    <col min="766" max="766" width="9.6640625" style="231" customWidth="1"/>
    <col min="767" max="767" width="9.109375" style="231"/>
    <col min="768" max="768" width="8.6640625" style="231" customWidth="1"/>
    <col min="769" max="769" width="15" style="231" customWidth="1"/>
    <col min="770" max="770" width="7.44140625" style="231" customWidth="1"/>
    <col min="771" max="771" width="10.6640625" style="231" customWidth="1"/>
    <col min="772" max="772" width="27.88671875" style="231" customWidth="1"/>
    <col min="773" max="773" width="26.109375" style="231" customWidth="1"/>
    <col min="774" max="774" width="19.88671875" style="231" customWidth="1"/>
    <col min="775" max="775" width="11.6640625" style="231" customWidth="1"/>
    <col min="776" max="776" width="36.109375" style="231" customWidth="1"/>
    <col min="777" max="1021" width="9.109375" style="231"/>
    <col min="1022" max="1022" width="9.6640625" style="231" customWidth="1"/>
    <col min="1023" max="1023" width="9.109375" style="231"/>
    <col min="1024" max="1024" width="8.6640625" style="231" customWidth="1"/>
    <col min="1025" max="1025" width="15" style="231" customWidth="1"/>
    <col min="1026" max="1026" width="7.44140625" style="231" customWidth="1"/>
    <col min="1027" max="1027" width="10.6640625" style="231" customWidth="1"/>
    <col min="1028" max="1028" width="27.88671875" style="231" customWidth="1"/>
    <col min="1029" max="1029" width="26.109375" style="231" customWidth="1"/>
    <col min="1030" max="1030" width="19.88671875" style="231" customWidth="1"/>
    <col min="1031" max="1031" width="11.6640625" style="231" customWidth="1"/>
    <col min="1032" max="1032" width="36.109375" style="231" customWidth="1"/>
    <col min="1033" max="1277" width="9.109375" style="231"/>
    <col min="1278" max="1278" width="9.6640625" style="231" customWidth="1"/>
    <col min="1279" max="1279" width="9.109375" style="231"/>
    <col min="1280" max="1280" width="8.6640625" style="231" customWidth="1"/>
    <col min="1281" max="1281" width="15" style="231" customWidth="1"/>
    <col min="1282" max="1282" width="7.44140625" style="231" customWidth="1"/>
    <col min="1283" max="1283" width="10.6640625" style="231" customWidth="1"/>
    <col min="1284" max="1284" width="27.88671875" style="231" customWidth="1"/>
    <col min="1285" max="1285" width="26.109375" style="231" customWidth="1"/>
    <col min="1286" max="1286" width="19.88671875" style="231" customWidth="1"/>
    <col min="1287" max="1287" width="11.6640625" style="231" customWidth="1"/>
    <col min="1288" max="1288" width="36.109375" style="231" customWidth="1"/>
    <col min="1289" max="1533" width="9.109375" style="231"/>
    <col min="1534" max="1534" width="9.6640625" style="231" customWidth="1"/>
    <col min="1535" max="1535" width="9.109375" style="231"/>
    <col min="1536" max="1536" width="8.6640625" style="231" customWidth="1"/>
    <col min="1537" max="1537" width="15" style="231" customWidth="1"/>
    <col min="1538" max="1538" width="7.44140625" style="231" customWidth="1"/>
    <col min="1539" max="1539" width="10.6640625" style="231" customWidth="1"/>
    <col min="1540" max="1540" width="27.88671875" style="231" customWidth="1"/>
    <col min="1541" max="1541" width="26.109375" style="231" customWidth="1"/>
    <col min="1542" max="1542" width="19.88671875" style="231" customWidth="1"/>
    <col min="1543" max="1543" width="11.6640625" style="231" customWidth="1"/>
    <col min="1544" max="1544" width="36.109375" style="231" customWidth="1"/>
    <col min="1545" max="1789" width="9.109375" style="231"/>
    <col min="1790" max="1790" width="9.6640625" style="231" customWidth="1"/>
    <col min="1791" max="1791" width="9.109375" style="231"/>
    <col min="1792" max="1792" width="8.6640625" style="231" customWidth="1"/>
    <col min="1793" max="1793" width="15" style="231" customWidth="1"/>
    <col min="1794" max="1794" width="7.44140625" style="231" customWidth="1"/>
    <col min="1795" max="1795" width="10.6640625" style="231" customWidth="1"/>
    <col min="1796" max="1796" width="27.88671875" style="231" customWidth="1"/>
    <col min="1797" max="1797" width="26.109375" style="231" customWidth="1"/>
    <col min="1798" max="1798" width="19.88671875" style="231" customWidth="1"/>
    <col min="1799" max="1799" width="11.6640625" style="231" customWidth="1"/>
    <col min="1800" max="1800" width="36.109375" style="231" customWidth="1"/>
    <col min="1801" max="2045" width="9.109375" style="231"/>
    <col min="2046" max="2046" width="9.6640625" style="231" customWidth="1"/>
    <col min="2047" max="2047" width="9.109375" style="231"/>
    <col min="2048" max="2048" width="8.6640625" style="231" customWidth="1"/>
    <col min="2049" max="2049" width="15" style="231" customWidth="1"/>
    <col min="2050" max="2050" width="7.44140625" style="231" customWidth="1"/>
    <col min="2051" max="2051" width="10.6640625" style="231" customWidth="1"/>
    <col min="2052" max="2052" width="27.88671875" style="231" customWidth="1"/>
    <col min="2053" max="2053" width="26.109375" style="231" customWidth="1"/>
    <col min="2054" max="2054" width="19.88671875" style="231" customWidth="1"/>
    <col min="2055" max="2055" width="11.6640625" style="231" customWidth="1"/>
    <col min="2056" max="2056" width="36.109375" style="231" customWidth="1"/>
    <col min="2057" max="2301" width="9.109375" style="231"/>
    <col min="2302" max="2302" width="9.6640625" style="231" customWidth="1"/>
    <col min="2303" max="2303" width="9.109375" style="231"/>
    <col min="2304" max="2304" width="8.6640625" style="231" customWidth="1"/>
    <col min="2305" max="2305" width="15" style="231" customWidth="1"/>
    <col min="2306" max="2306" width="7.44140625" style="231" customWidth="1"/>
    <col min="2307" max="2307" width="10.6640625" style="231" customWidth="1"/>
    <col min="2308" max="2308" width="27.88671875" style="231" customWidth="1"/>
    <col min="2309" max="2309" width="26.109375" style="231" customWidth="1"/>
    <col min="2310" max="2310" width="19.88671875" style="231" customWidth="1"/>
    <col min="2311" max="2311" width="11.6640625" style="231" customWidth="1"/>
    <col min="2312" max="2312" width="36.109375" style="231" customWidth="1"/>
    <col min="2313" max="2557" width="9.109375" style="231"/>
    <col min="2558" max="2558" width="9.6640625" style="231" customWidth="1"/>
    <col min="2559" max="2559" width="9.109375" style="231"/>
    <col min="2560" max="2560" width="8.6640625" style="231" customWidth="1"/>
    <col min="2561" max="2561" width="15" style="231" customWidth="1"/>
    <col min="2562" max="2562" width="7.44140625" style="231" customWidth="1"/>
    <col min="2563" max="2563" width="10.6640625" style="231" customWidth="1"/>
    <col min="2564" max="2564" width="27.88671875" style="231" customWidth="1"/>
    <col min="2565" max="2565" width="26.109375" style="231" customWidth="1"/>
    <col min="2566" max="2566" width="19.88671875" style="231" customWidth="1"/>
    <col min="2567" max="2567" width="11.6640625" style="231" customWidth="1"/>
    <col min="2568" max="2568" width="36.109375" style="231" customWidth="1"/>
    <col min="2569" max="2813" width="9.109375" style="231"/>
    <col min="2814" max="2814" width="9.6640625" style="231" customWidth="1"/>
    <col min="2815" max="2815" width="9.109375" style="231"/>
    <col min="2816" max="2816" width="8.6640625" style="231" customWidth="1"/>
    <col min="2817" max="2817" width="15" style="231" customWidth="1"/>
    <col min="2818" max="2818" width="7.44140625" style="231" customWidth="1"/>
    <col min="2819" max="2819" width="10.6640625" style="231" customWidth="1"/>
    <col min="2820" max="2820" width="27.88671875" style="231" customWidth="1"/>
    <col min="2821" max="2821" width="26.109375" style="231" customWidth="1"/>
    <col min="2822" max="2822" width="19.88671875" style="231" customWidth="1"/>
    <col min="2823" max="2823" width="11.6640625" style="231" customWidth="1"/>
    <col min="2824" max="2824" width="36.109375" style="231" customWidth="1"/>
    <col min="2825" max="3069" width="9.109375" style="231"/>
    <col min="3070" max="3070" width="9.6640625" style="231" customWidth="1"/>
    <col min="3071" max="3071" width="9.109375" style="231"/>
    <col min="3072" max="3072" width="8.6640625" style="231" customWidth="1"/>
    <col min="3073" max="3073" width="15" style="231" customWidth="1"/>
    <col min="3074" max="3074" width="7.44140625" style="231" customWidth="1"/>
    <col min="3075" max="3075" width="10.6640625" style="231" customWidth="1"/>
    <col min="3076" max="3076" width="27.88671875" style="231" customWidth="1"/>
    <col min="3077" max="3077" width="26.109375" style="231" customWidth="1"/>
    <col min="3078" max="3078" width="19.88671875" style="231" customWidth="1"/>
    <col min="3079" max="3079" width="11.6640625" style="231" customWidth="1"/>
    <col min="3080" max="3080" width="36.109375" style="231" customWidth="1"/>
    <col min="3081" max="3325" width="9.109375" style="231"/>
    <col min="3326" max="3326" width="9.6640625" style="231" customWidth="1"/>
    <col min="3327" max="3327" width="9.109375" style="231"/>
    <col min="3328" max="3328" width="8.6640625" style="231" customWidth="1"/>
    <col min="3329" max="3329" width="15" style="231" customWidth="1"/>
    <col min="3330" max="3330" width="7.44140625" style="231" customWidth="1"/>
    <col min="3331" max="3331" width="10.6640625" style="231" customWidth="1"/>
    <col min="3332" max="3332" width="27.88671875" style="231" customWidth="1"/>
    <col min="3333" max="3333" width="26.109375" style="231" customWidth="1"/>
    <col min="3334" max="3334" width="19.88671875" style="231" customWidth="1"/>
    <col min="3335" max="3335" width="11.6640625" style="231" customWidth="1"/>
    <col min="3336" max="3336" width="36.109375" style="231" customWidth="1"/>
    <col min="3337" max="3581" width="9.109375" style="231"/>
    <col min="3582" max="3582" width="9.6640625" style="231" customWidth="1"/>
    <col min="3583" max="3583" width="9.109375" style="231"/>
    <col min="3584" max="3584" width="8.6640625" style="231" customWidth="1"/>
    <col min="3585" max="3585" width="15" style="231" customWidth="1"/>
    <col min="3586" max="3586" width="7.44140625" style="231" customWidth="1"/>
    <col min="3587" max="3587" width="10.6640625" style="231" customWidth="1"/>
    <col min="3588" max="3588" width="27.88671875" style="231" customWidth="1"/>
    <col min="3589" max="3589" width="26.109375" style="231" customWidth="1"/>
    <col min="3590" max="3590" width="19.88671875" style="231" customWidth="1"/>
    <col min="3591" max="3591" width="11.6640625" style="231" customWidth="1"/>
    <col min="3592" max="3592" width="36.109375" style="231" customWidth="1"/>
    <col min="3593" max="3837" width="9.109375" style="231"/>
    <col min="3838" max="3838" width="9.6640625" style="231" customWidth="1"/>
    <col min="3839" max="3839" width="9.109375" style="231"/>
    <col min="3840" max="3840" width="8.6640625" style="231" customWidth="1"/>
    <col min="3841" max="3841" width="15" style="231" customWidth="1"/>
    <col min="3842" max="3842" width="7.44140625" style="231" customWidth="1"/>
    <col min="3843" max="3843" width="10.6640625" style="231" customWidth="1"/>
    <col min="3844" max="3844" width="27.88671875" style="231" customWidth="1"/>
    <col min="3845" max="3845" width="26.109375" style="231" customWidth="1"/>
    <col min="3846" max="3846" width="19.88671875" style="231" customWidth="1"/>
    <col min="3847" max="3847" width="11.6640625" style="231" customWidth="1"/>
    <col min="3848" max="3848" width="36.109375" style="231" customWidth="1"/>
    <col min="3849" max="4093" width="9.109375" style="231"/>
    <col min="4094" max="4094" width="9.6640625" style="231" customWidth="1"/>
    <col min="4095" max="4095" width="9.109375" style="231"/>
    <col min="4096" max="4096" width="8.6640625" style="231" customWidth="1"/>
    <col min="4097" max="4097" width="15" style="231" customWidth="1"/>
    <col min="4098" max="4098" width="7.44140625" style="231" customWidth="1"/>
    <col min="4099" max="4099" width="10.6640625" style="231" customWidth="1"/>
    <col min="4100" max="4100" width="27.88671875" style="231" customWidth="1"/>
    <col min="4101" max="4101" width="26.109375" style="231" customWidth="1"/>
    <col min="4102" max="4102" width="19.88671875" style="231" customWidth="1"/>
    <col min="4103" max="4103" width="11.6640625" style="231" customWidth="1"/>
    <col min="4104" max="4104" width="36.109375" style="231" customWidth="1"/>
    <col min="4105" max="4349" width="9.109375" style="231"/>
    <col min="4350" max="4350" width="9.6640625" style="231" customWidth="1"/>
    <col min="4351" max="4351" width="9.109375" style="231"/>
    <col min="4352" max="4352" width="8.6640625" style="231" customWidth="1"/>
    <col min="4353" max="4353" width="15" style="231" customWidth="1"/>
    <col min="4354" max="4354" width="7.44140625" style="231" customWidth="1"/>
    <col min="4355" max="4355" width="10.6640625" style="231" customWidth="1"/>
    <col min="4356" max="4356" width="27.88671875" style="231" customWidth="1"/>
    <col min="4357" max="4357" width="26.109375" style="231" customWidth="1"/>
    <col min="4358" max="4358" width="19.88671875" style="231" customWidth="1"/>
    <col min="4359" max="4359" width="11.6640625" style="231" customWidth="1"/>
    <col min="4360" max="4360" width="36.109375" style="231" customWidth="1"/>
    <col min="4361" max="4605" width="9.109375" style="231"/>
    <col min="4606" max="4606" width="9.6640625" style="231" customWidth="1"/>
    <col min="4607" max="4607" width="9.109375" style="231"/>
    <col min="4608" max="4608" width="8.6640625" style="231" customWidth="1"/>
    <col min="4609" max="4609" width="15" style="231" customWidth="1"/>
    <col min="4610" max="4610" width="7.44140625" style="231" customWidth="1"/>
    <col min="4611" max="4611" width="10.6640625" style="231" customWidth="1"/>
    <col min="4612" max="4612" width="27.88671875" style="231" customWidth="1"/>
    <col min="4613" max="4613" width="26.109375" style="231" customWidth="1"/>
    <col min="4614" max="4614" width="19.88671875" style="231" customWidth="1"/>
    <col min="4615" max="4615" width="11.6640625" style="231" customWidth="1"/>
    <col min="4616" max="4616" width="36.109375" style="231" customWidth="1"/>
    <col min="4617" max="4861" width="9.109375" style="231"/>
    <col min="4862" max="4862" width="9.6640625" style="231" customWidth="1"/>
    <col min="4863" max="4863" width="9.109375" style="231"/>
    <col min="4864" max="4864" width="8.6640625" style="231" customWidth="1"/>
    <col min="4865" max="4865" width="15" style="231" customWidth="1"/>
    <col min="4866" max="4866" width="7.44140625" style="231" customWidth="1"/>
    <col min="4867" max="4867" width="10.6640625" style="231" customWidth="1"/>
    <col min="4868" max="4868" width="27.88671875" style="231" customWidth="1"/>
    <col min="4869" max="4869" width="26.109375" style="231" customWidth="1"/>
    <col min="4870" max="4870" width="19.88671875" style="231" customWidth="1"/>
    <col min="4871" max="4871" width="11.6640625" style="231" customWidth="1"/>
    <col min="4872" max="4872" width="36.109375" style="231" customWidth="1"/>
    <col min="4873" max="5117" width="9.109375" style="231"/>
    <col min="5118" max="5118" width="9.6640625" style="231" customWidth="1"/>
    <col min="5119" max="5119" width="9.109375" style="231"/>
    <col min="5120" max="5120" width="8.6640625" style="231" customWidth="1"/>
    <col min="5121" max="5121" width="15" style="231" customWidth="1"/>
    <col min="5122" max="5122" width="7.44140625" style="231" customWidth="1"/>
    <col min="5123" max="5123" width="10.6640625" style="231" customWidth="1"/>
    <col min="5124" max="5124" width="27.88671875" style="231" customWidth="1"/>
    <col min="5125" max="5125" width="26.109375" style="231" customWidth="1"/>
    <col min="5126" max="5126" width="19.88671875" style="231" customWidth="1"/>
    <col min="5127" max="5127" width="11.6640625" style="231" customWidth="1"/>
    <col min="5128" max="5128" width="36.109375" style="231" customWidth="1"/>
    <col min="5129" max="5373" width="9.109375" style="231"/>
    <col min="5374" max="5374" width="9.6640625" style="231" customWidth="1"/>
    <col min="5375" max="5375" width="9.109375" style="231"/>
    <col min="5376" max="5376" width="8.6640625" style="231" customWidth="1"/>
    <col min="5377" max="5377" width="15" style="231" customWidth="1"/>
    <col min="5378" max="5378" width="7.44140625" style="231" customWidth="1"/>
    <col min="5379" max="5379" width="10.6640625" style="231" customWidth="1"/>
    <col min="5380" max="5380" width="27.88671875" style="231" customWidth="1"/>
    <col min="5381" max="5381" width="26.109375" style="231" customWidth="1"/>
    <col min="5382" max="5382" width="19.88671875" style="231" customWidth="1"/>
    <col min="5383" max="5383" width="11.6640625" style="231" customWidth="1"/>
    <col min="5384" max="5384" width="36.109375" style="231" customWidth="1"/>
    <col min="5385" max="5629" width="9.109375" style="231"/>
    <col min="5630" max="5630" width="9.6640625" style="231" customWidth="1"/>
    <col min="5631" max="5631" width="9.109375" style="231"/>
    <col min="5632" max="5632" width="8.6640625" style="231" customWidth="1"/>
    <col min="5633" max="5633" width="15" style="231" customWidth="1"/>
    <col min="5634" max="5634" width="7.44140625" style="231" customWidth="1"/>
    <col min="5635" max="5635" width="10.6640625" style="231" customWidth="1"/>
    <col min="5636" max="5636" width="27.88671875" style="231" customWidth="1"/>
    <col min="5637" max="5637" width="26.109375" style="231" customWidth="1"/>
    <col min="5638" max="5638" width="19.88671875" style="231" customWidth="1"/>
    <col min="5639" max="5639" width="11.6640625" style="231" customWidth="1"/>
    <col min="5640" max="5640" width="36.109375" style="231" customWidth="1"/>
    <col min="5641" max="5885" width="9.109375" style="231"/>
    <col min="5886" max="5886" width="9.6640625" style="231" customWidth="1"/>
    <col min="5887" max="5887" width="9.109375" style="231"/>
    <col min="5888" max="5888" width="8.6640625" style="231" customWidth="1"/>
    <col min="5889" max="5889" width="15" style="231" customWidth="1"/>
    <col min="5890" max="5890" width="7.44140625" style="231" customWidth="1"/>
    <col min="5891" max="5891" width="10.6640625" style="231" customWidth="1"/>
    <col min="5892" max="5892" width="27.88671875" style="231" customWidth="1"/>
    <col min="5893" max="5893" width="26.109375" style="231" customWidth="1"/>
    <col min="5894" max="5894" width="19.88671875" style="231" customWidth="1"/>
    <col min="5895" max="5895" width="11.6640625" style="231" customWidth="1"/>
    <col min="5896" max="5896" width="36.109375" style="231" customWidth="1"/>
    <col min="5897" max="6141" width="9.109375" style="231"/>
    <col min="6142" max="6142" width="9.6640625" style="231" customWidth="1"/>
    <col min="6143" max="6143" width="9.109375" style="231"/>
    <col min="6144" max="6144" width="8.6640625" style="231" customWidth="1"/>
    <col min="6145" max="6145" width="15" style="231" customWidth="1"/>
    <col min="6146" max="6146" width="7.44140625" style="231" customWidth="1"/>
    <col min="6147" max="6147" width="10.6640625" style="231" customWidth="1"/>
    <col min="6148" max="6148" width="27.88671875" style="231" customWidth="1"/>
    <col min="6149" max="6149" width="26.109375" style="231" customWidth="1"/>
    <col min="6150" max="6150" width="19.88671875" style="231" customWidth="1"/>
    <col min="6151" max="6151" width="11.6640625" style="231" customWidth="1"/>
    <col min="6152" max="6152" width="36.109375" style="231" customWidth="1"/>
    <col min="6153" max="6397" width="9.109375" style="231"/>
    <col min="6398" max="6398" width="9.6640625" style="231" customWidth="1"/>
    <col min="6399" max="6399" width="9.109375" style="231"/>
    <col min="6400" max="6400" width="8.6640625" style="231" customWidth="1"/>
    <col min="6401" max="6401" width="15" style="231" customWidth="1"/>
    <col min="6402" max="6402" width="7.44140625" style="231" customWidth="1"/>
    <col min="6403" max="6403" width="10.6640625" style="231" customWidth="1"/>
    <col min="6404" max="6404" width="27.88671875" style="231" customWidth="1"/>
    <col min="6405" max="6405" width="26.109375" style="231" customWidth="1"/>
    <col min="6406" max="6406" width="19.88671875" style="231" customWidth="1"/>
    <col min="6407" max="6407" width="11.6640625" style="231" customWidth="1"/>
    <col min="6408" max="6408" width="36.109375" style="231" customWidth="1"/>
    <col min="6409" max="6653" width="9.109375" style="231"/>
    <col min="6654" max="6654" width="9.6640625" style="231" customWidth="1"/>
    <col min="6655" max="6655" width="9.109375" style="231"/>
    <col min="6656" max="6656" width="8.6640625" style="231" customWidth="1"/>
    <col min="6657" max="6657" width="15" style="231" customWidth="1"/>
    <col min="6658" max="6658" width="7.44140625" style="231" customWidth="1"/>
    <col min="6659" max="6659" width="10.6640625" style="231" customWidth="1"/>
    <col min="6660" max="6660" width="27.88671875" style="231" customWidth="1"/>
    <col min="6661" max="6661" width="26.109375" style="231" customWidth="1"/>
    <col min="6662" max="6662" width="19.88671875" style="231" customWidth="1"/>
    <col min="6663" max="6663" width="11.6640625" style="231" customWidth="1"/>
    <col min="6664" max="6664" width="36.109375" style="231" customWidth="1"/>
    <col min="6665" max="6909" width="9.109375" style="231"/>
    <col min="6910" max="6910" width="9.6640625" style="231" customWidth="1"/>
    <col min="6911" max="6911" width="9.109375" style="231"/>
    <col min="6912" max="6912" width="8.6640625" style="231" customWidth="1"/>
    <col min="6913" max="6913" width="15" style="231" customWidth="1"/>
    <col min="6914" max="6914" width="7.44140625" style="231" customWidth="1"/>
    <col min="6915" max="6915" width="10.6640625" style="231" customWidth="1"/>
    <col min="6916" max="6916" width="27.88671875" style="231" customWidth="1"/>
    <col min="6917" max="6917" width="26.109375" style="231" customWidth="1"/>
    <col min="6918" max="6918" width="19.88671875" style="231" customWidth="1"/>
    <col min="6919" max="6919" width="11.6640625" style="231" customWidth="1"/>
    <col min="6920" max="6920" width="36.109375" style="231" customWidth="1"/>
    <col min="6921" max="7165" width="9.109375" style="231"/>
    <col min="7166" max="7166" width="9.6640625" style="231" customWidth="1"/>
    <col min="7167" max="7167" width="9.109375" style="231"/>
    <col min="7168" max="7168" width="8.6640625" style="231" customWidth="1"/>
    <col min="7169" max="7169" width="15" style="231" customWidth="1"/>
    <col min="7170" max="7170" width="7.44140625" style="231" customWidth="1"/>
    <col min="7171" max="7171" width="10.6640625" style="231" customWidth="1"/>
    <col min="7172" max="7172" width="27.88671875" style="231" customWidth="1"/>
    <col min="7173" max="7173" width="26.109375" style="231" customWidth="1"/>
    <col min="7174" max="7174" width="19.88671875" style="231" customWidth="1"/>
    <col min="7175" max="7175" width="11.6640625" style="231" customWidth="1"/>
    <col min="7176" max="7176" width="36.109375" style="231" customWidth="1"/>
    <col min="7177" max="7421" width="9.109375" style="231"/>
    <col min="7422" max="7422" width="9.6640625" style="231" customWidth="1"/>
    <col min="7423" max="7423" width="9.109375" style="231"/>
    <col min="7424" max="7424" width="8.6640625" style="231" customWidth="1"/>
    <col min="7425" max="7425" width="15" style="231" customWidth="1"/>
    <col min="7426" max="7426" width="7.44140625" style="231" customWidth="1"/>
    <col min="7427" max="7427" width="10.6640625" style="231" customWidth="1"/>
    <col min="7428" max="7428" width="27.88671875" style="231" customWidth="1"/>
    <col min="7429" max="7429" width="26.109375" style="231" customWidth="1"/>
    <col min="7430" max="7430" width="19.88671875" style="231" customWidth="1"/>
    <col min="7431" max="7431" width="11.6640625" style="231" customWidth="1"/>
    <col min="7432" max="7432" width="36.109375" style="231" customWidth="1"/>
    <col min="7433" max="7677" width="9.109375" style="231"/>
    <col min="7678" max="7678" width="9.6640625" style="231" customWidth="1"/>
    <col min="7679" max="7679" width="9.109375" style="231"/>
    <col min="7680" max="7680" width="8.6640625" style="231" customWidth="1"/>
    <col min="7681" max="7681" width="15" style="231" customWidth="1"/>
    <col min="7682" max="7682" width="7.44140625" style="231" customWidth="1"/>
    <col min="7683" max="7683" width="10.6640625" style="231" customWidth="1"/>
    <col min="7684" max="7684" width="27.88671875" style="231" customWidth="1"/>
    <col min="7685" max="7685" width="26.109375" style="231" customWidth="1"/>
    <col min="7686" max="7686" width="19.88671875" style="231" customWidth="1"/>
    <col min="7687" max="7687" width="11.6640625" style="231" customWidth="1"/>
    <col min="7688" max="7688" width="36.109375" style="231" customWidth="1"/>
    <col min="7689" max="7933" width="9.109375" style="231"/>
    <col min="7934" max="7934" width="9.6640625" style="231" customWidth="1"/>
    <col min="7935" max="7935" width="9.109375" style="231"/>
    <col min="7936" max="7936" width="8.6640625" style="231" customWidth="1"/>
    <col min="7937" max="7937" width="15" style="231" customWidth="1"/>
    <col min="7938" max="7938" width="7.44140625" style="231" customWidth="1"/>
    <col min="7939" max="7939" width="10.6640625" style="231" customWidth="1"/>
    <col min="7940" max="7940" width="27.88671875" style="231" customWidth="1"/>
    <col min="7941" max="7941" width="26.109375" style="231" customWidth="1"/>
    <col min="7942" max="7942" width="19.88671875" style="231" customWidth="1"/>
    <col min="7943" max="7943" width="11.6640625" style="231" customWidth="1"/>
    <col min="7944" max="7944" width="36.109375" style="231" customWidth="1"/>
    <col min="7945" max="8189" width="9.109375" style="231"/>
    <col min="8190" max="8190" width="9.6640625" style="231" customWidth="1"/>
    <col min="8191" max="8191" width="9.109375" style="231"/>
    <col min="8192" max="8192" width="8.6640625" style="231" customWidth="1"/>
    <col min="8193" max="8193" width="15" style="231" customWidth="1"/>
    <col min="8194" max="8194" width="7.44140625" style="231" customWidth="1"/>
    <col min="8195" max="8195" width="10.6640625" style="231" customWidth="1"/>
    <col min="8196" max="8196" width="27.88671875" style="231" customWidth="1"/>
    <col min="8197" max="8197" width="26.109375" style="231" customWidth="1"/>
    <col min="8198" max="8198" width="19.88671875" style="231" customWidth="1"/>
    <col min="8199" max="8199" width="11.6640625" style="231" customWidth="1"/>
    <col min="8200" max="8200" width="36.109375" style="231" customWidth="1"/>
    <col min="8201" max="8445" width="9.109375" style="231"/>
    <col min="8446" max="8446" width="9.6640625" style="231" customWidth="1"/>
    <col min="8447" max="8447" width="9.109375" style="231"/>
    <col min="8448" max="8448" width="8.6640625" style="231" customWidth="1"/>
    <col min="8449" max="8449" width="15" style="231" customWidth="1"/>
    <col min="8450" max="8450" width="7.44140625" style="231" customWidth="1"/>
    <col min="8451" max="8451" width="10.6640625" style="231" customWidth="1"/>
    <col min="8452" max="8452" width="27.88671875" style="231" customWidth="1"/>
    <col min="8453" max="8453" width="26.109375" style="231" customWidth="1"/>
    <col min="8454" max="8454" width="19.88671875" style="231" customWidth="1"/>
    <col min="8455" max="8455" width="11.6640625" style="231" customWidth="1"/>
    <col min="8456" max="8456" width="36.109375" style="231" customWidth="1"/>
    <col min="8457" max="8701" width="9.109375" style="231"/>
    <col min="8702" max="8702" width="9.6640625" style="231" customWidth="1"/>
    <col min="8703" max="8703" width="9.109375" style="231"/>
    <col min="8704" max="8704" width="8.6640625" style="231" customWidth="1"/>
    <col min="8705" max="8705" width="15" style="231" customWidth="1"/>
    <col min="8706" max="8706" width="7.44140625" style="231" customWidth="1"/>
    <col min="8707" max="8707" width="10.6640625" style="231" customWidth="1"/>
    <col min="8708" max="8708" width="27.88671875" style="231" customWidth="1"/>
    <col min="8709" max="8709" width="26.109375" style="231" customWidth="1"/>
    <col min="8710" max="8710" width="19.88671875" style="231" customWidth="1"/>
    <col min="8711" max="8711" width="11.6640625" style="231" customWidth="1"/>
    <col min="8712" max="8712" width="36.109375" style="231" customWidth="1"/>
    <col min="8713" max="8957" width="9.109375" style="231"/>
    <col min="8958" max="8958" width="9.6640625" style="231" customWidth="1"/>
    <col min="8959" max="8959" width="9.109375" style="231"/>
    <col min="8960" max="8960" width="8.6640625" style="231" customWidth="1"/>
    <col min="8961" max="8961" width="15" style="231" customWidth="1"/>
    <col min="8962" max="8962" width="7.44140625" style="231" customWidth="1"/>
    <col min="8963" max="8963" width="10.6640625" style="231" customWidth="1"/>
    <col min="8964" max="8964" width="27.88671875" style="231" customWidth="1"/>
    <col min="8965" max="8965" width="26.109375" style="231" customWidth="1"/>
    <col min="8966" max="8966" width="19.88671875" style="231" customWidth="1"/>
    <col min="8967" max="8967" width="11.6640625" style="231" customWidth="1"/>
    <col min="8968" max="8968" width="36.109375" style="231" customWidth="1"/>
    <col min="8969" max="9213" width="9.109375" style="231"/>
    <col min="9214" max="9214" width="9.6640625" style="231" customWidth="1"/>
    <col min="9215" max="9215" width="9.109375" style="231"/>
    <col min="9216" max="9216" width="8.6640625" style="231" customWidth="1"/>
    <col min="9217" max="9217" width="15" style="231" customWidth="1"/>
    <col min="9218" max="9218" width="7.44140625" style="231" customWidth="1"/>
    <col min="9219" max="9219" width="10.6640625" style="231" customWidth="1"/>
    <col min="9220" max="9220" width="27.88671875" style="231" customWidth="1"/>
    <col min="9221" max="9221" width="26.109375" style="231" customWidth="1"/>
    <col min="9222" max="9222" width="19.88671875" style="231" customWidth="1"/>
    <col min="9223" max="9223" width="11.6640625" style="231" customWidth="1"/>
    <col min="9224" max="9224" width="36.109375" style="231" customWidth="1"/>
    <col min="9225" max="9469" width="9.109375" style="231"/>
    <col min="9470" max="9470" width="9.6640625" style="231" customWidth="1"/>
    <col min="9471" max="9471" width="9.109375" style="231"/>
    <col min="9472" max="9472" width="8.6640625" style="231" customWidth="1"/>
    <col min="9473" max="9473" width="15" style="231" customWidth="1"/>
    <col min="9474" max="9474" width="7.44140625" style="231" customWidth="1"/>
    <col min="9475" max="9475" width="10.6640625" style="231" customWidth="1"/>
    <col min="9476" max="9476" width="27.88671875" style="231" customWidth="1"/>
    <col min="9477" max="9477" width="26.109375" style="231" customWidth="1"/>
    <col min="9478" max="9478" width="19.88671875" style="231" customWidth="1"/>
    <col min="9479" max="9479" width="11.6640625" style="231" customWidth="1"/>
    <col min="9480" max="9480" width="36.109375" style="231" customWidth="1"/>
    <col min="9481" max="9725" width="9.109375" style="231"/>
    <col min="9726" max="9726" width="9.6640625" style="231" customWidth="1"/>
    <col min="9727" max="9727" width="9.109375" style="231"/>
    <col min="9728" max="9728" width="8.6640625" style="231" customWidth="1"/>
    <col min="9729" max="9729" width="15" style="231" customWidth="1"/>
    <col min="9730" max="9730" width="7.44140625" style="231" customWidth="1"/>
    <col min="9731" max="9731" width="10.6640625" style="231" customWidth="1"/>
    <col min="9732" max="9732" width="27.88671875" style="231" customWidth="1"/>
    <col min="9733" max="9733" width="26.109375" style="231" customWidth="1"/>
    <col min="9734" max="9734" width="19.88671875" style="231" customWidth="1"/>
    <col min="9735" max="9735" width="11.6640625" style="231" customWidth="1"/>
    <col min="9736" max="9736" width="36.109375" style="231" customWidth="1"/>
    <col min="9737" max="9981" width="9.109375" style="231"/>
    <col min="9982" max="9982" width="9.6640625" style="231" customWidth="1"/>
    <col min="9983" max="9983" width="9.109375" style="231"/>
    <col min="9984" max="9984" width="8.6640625" style="231" customWidth="1"/>
    <col min="9985" max="9985" width="15" style="231" customWidth="1"/>
    <col min="9986" max="9986" width="7.44140625" style="231" customWidth="1"/>
    <col min="9987" max="9987" width="10.6640625" style="231" customWidth="1"/>
    <col min="9988" max="9988" width="27.88671875" style="231" customWidth="1"/>
    <col min="9989" max="9989" width="26.109375" style="231" customWidth="1"/>
    <col min="9990" max="9990" width="19.88671875" style="231" customWidth="1"/>
    <col min="9991" max="9991" width="11.6640625" style="231" customWidth="1"/>
    <col min="9992" max="9992" width="36.109375" style="231" customWidth="1"/>
    <col min="9993" max="10237" width="9.109375" style="231"/>
    <col min="10238" max="10238" width="9.6640625" style="231" customWidth="1"/>
    <col min="10239" max="10239" width="9.109375" style="231"/>
    <col min="10240" max="10240" width="8.6640625" style="231" customWidth="1"/>
    <col min="10241" max="10241" width="15" style="231" customWidth="1"/>
    <col min="10242" max="10242" width="7.44140625" style="231" customWidth="1"/>
    <col min="10243" max="10243" width="10.6640625" style="231" customWidth="1"/>
    <col min="10244" max="10244" width="27.88671875" style="231" customWidth="1"/>
    <col min="10245" max="10245" width="26.109375" style="231" customWidth="1"/>
    <col min="10246" max="10246" width="19.88671875" style="231" customWidth="1"/>
    <col min="10247" max="10247" width="11.6640625" style="231" customWidth="1"/>
    <col min="10248" max="10248" width="36.109375" style="231" customWidth="1"/>
    <col min="10249" max="10493" width="9.109375" style="231"/>
    <col min="10494" max="10494" width="9.6640625" style="231" customWidth="1"/>
    <col min="10495" max="10495" width="9.109375" style="231"/>
    <col min="10496" max="10496" width="8.6640625" style="231" customWidth="1"/>
    <col min="10497" max="10497" width="15" style="231" customWidth="1"/>
    <col min="10498" max="10498" width="7.44140625" style="231" customWidth="1"/>
    <col min="10499" max="10499" width="10.6640625" style="231" customWidth="1"/>
    <col min="10500" max="10500" width="27.88671875" style="231" customWidth="1"/>
    <col min="10501" max="10501" width="26.109375" style="231" customWidth="1"/>
    <col min="10502" max="10502" width="19.88671875" style="231" customWidth="1"/>
    <col min="10503" max="10503" width="11.6640625" style="231" customWidth="1"/>
    <col min="10504" max="10504" width="36.109375" style="231" customWidth="1"/>
    <col min="10505" max="10749" width="9.109375" style="231"/>
    <col min="10750" max="10750" width="9.6640625" style="231" customWidth="1"/>
    <col min="10751" max="10751" width="9.109375" style="231"/>
    <col min="10752" max="10752" width="8.6640625" style="231" customWidth="1"/>
    <col min="10753" max="10753" width="15" style="231" customWidth="1"/>
    <col min="10754" max="10754" width="7.44140625" style="231" customWidth="1"/>
    <col min="10755" max="10755" width="10.6640625" style="231" customWidth="1"/>
    <col min="10756" max="10756" width="27.88671875" style="231" customWidth="1"/>
    <col min="10757" max="10757" width="26.109375" style="231" customWidth="1"/>
    <col min="10758" max="10758" width="19.88671875" style="231" customWidth="1"/>
    <col min="10759" max="10759" width="11.6640625" style="231" customWidth="1"/>
    <col min="10760" max="10760" width="36.109375" style="231" customWidth="1"/>
    <col min="10761" max="11005" width="9.109375" style="231"/>
    <col min="11006" max="11006" width="9.6640625" style="231" customWidth="1"/>
    <col min="11007" max="11007" width="9.109375" style="231"/>
    <col min="11008" max="11008" width="8.6640625" style="231" customWidth="1"/>
    <col min="11009" max="11009" width="15" style="231" customWidth="1"/>
    <col min="11010" max="11010" width="7.44140625" style="231" customWidth="1"/>
    <col min="11011" max="11011" width="10.6640625" style="231" customWidth="1"/>
    <col min="11012" max="11012" width="27.88671875" style="231" customWidth="1"/>
    <col min="11013" max="11013" width="26.109375" style="231" customWidth="1"/>
    <col min="11014" max="11014" width="19.88671875" style="231" customWidth="1"/>
    <col min="11015" max="11015" width="11.6640625" style="231" customWidth="1"/>
    <col min="11016" max="11016" width="36.109375" style="231" customWidth="1"/>
    <col min="11017" max="11261" width="9.109375" style="231"/>
    <col min="11262" max="11262" width="9.6640625" style="231" customWidth="1"/>
    <col min="11263" max="11263" width="9.109375" style="231"/>
    <col min="11264" max="11264" width="8.6640625" style="231" customWidth="1"/>
    <col min="11265" max="11265" width="15" style="231" customWidth="1"/>
    <col min="11266" max="11266" width="7.44140625" style="231" customWidth="1"/>
    <col min="11267" max="11267" width="10.6640625" style="231" customWidth="1"/>
    <col min="11268" max="11268" width="27.88671875" style="231" customWidth="1"/>
    <col min="11269" max="11269" width="26.109375" style="231" customWidth="1"/>
    <col min="11270" max="11270" width="19.88671875" style="231" customWidth="1"/>
    <col min="11271" max="11271" width="11.6640625" style="231" customWidth="1"/>
    <col min="11272" max="11272" width="36.109375" style="231" customWidth="1"/>
    <col min="11273" max="11517" width="9.109375" style="231"/>
    <col min="11518" max="11518" width="9.6640625" style="231" customWidth="1"/>
    <col min="11519" max="11519" width="9.109375" style="231"/>
    <col min="11520" max="11520" width="8.6640625" style="231" customWidth="1"/>
    <col min="11521" max="11521" width="15" style="231" customWidth="1"/>
    <col min="11522" max="11522" width="7.44140625" style="231" customWidth="1"/>
    <col min="11523" max="11523" width="10.6640625" style="231" customWidth="1"/>
    <col min="11524" max="11524" width="27.88671875" style="231" customWidth="1"/>
    <col min="11525" max="11525" width="26.109375" style="231" customWidth="1"/>
    <col min="11526" max="11526" width="19.88671875" style="231" customWidth="1"/>
    <col min="11527" max="11527" width="11.6640625" style="231" customWidth="1"/>
    <col min="11528" max="11528" width="36.109375" style="231" customWidth="1"/>
    <col min="11529" max="11773" width="9.109375" style="231"/>
    <col min="11774" max="11774" width="9.6640625" style="231" customWidth="1"/>
    <col min="11775" max="11775" width="9.109375" style="231"/>
    <col min="11776" max="11776" width="8.6640625" style="231" customWidth="1"/>
    <col min="11777" max="11777" width="15" style="231" customWidth="1"/>
    <col min="11778" max="11778" width="7.44140625" style="231" customWidth="1"/>
    <col min="11779" max="11779" width="10.6640625" style="231" customWidth="1"/>
    <col min="11780" max="11780" width="27.88671875" style="231" customWidth="1"/>
    <col min="11781" max="11781" width="26.109375" style="231" customWidth="1"/>
    <col min="11782" max="11782" width="19.88671875" style="231" customWidth="1"/>
    <col min="11783" max="11783" width="11.6640625" style="231" customWidth="1"/>
    <col min="11784" max="11784" width="36.109375" style="231" customWidth="1"/>
    <col min="11785" max="12029" width="9.109375" style="231"/>
    <col min="12030" max="12030" width="9.6640625" style="231" customWidth="1"/>
    <col min="12031" max="12031" width="9.109375" style="231"/>
    <col min="12032" max="12032" width="8.6640625" style="231" customWidth="1"/>
    <col min="12033" max="12033" width="15" style="231" customWidth="1"/>
    <col min="12034" max="12034" width="7.44140625" style="231" customWidth="1"/>
    <col min="12035" max="12035" width="10.6640625" style="231" customWidth="1"/>
    <col min="12036" max="12036" width="27.88671875" style="231" customWidth="1"/>
    <col min="12037" max="12037" width="26.109375" style="231" customWidth="1"/>
    <col min="12038" max="12038" width="19.88671875" style="231" customWidth="1"/>
    <col min="12039" max="12039" width="11.6640625" style="231" customWidth="1"/>
    <col min="12040" max="12040" width="36.109375" style="231" customWidth="1"/>
    <col min="12041" max="12285" width="9.109375" style="231"/>
    <col min="12286" max="12286" width="9.6640625" style="231" customWidth="1"/>
    <col min="12287" max="12287" width="9.109375" style="231"/>
    <col min="12288" max="12288" width="8.6640625" style="231" customWidth="1"/>
    <col min="12289" max="12289" width="15" style="231" customWidth="1"/>
    <col min="12290" max="12290" width="7.44140625" style="231" customWidth="1"/>
    <col min="12291" max="12291" width="10.6640625" style="231" customWidth="1"/>
    <col min="12292" max="12292" width="27.88671875" style="231" customWidth="1"/>
    <col min="12293" max="12293" width="26.109375" style="231" customWidth="1"/>
    <col min="12294" max="12294" width="19.88671875" style="231" customWidth="1"/>
    <col min="12295" max="12295" width="11.6640625" style="231" customWidth="1"/>
    <col min="12296" max="12296" width="36.109375" style="231" customWidth="1"/>
    <col min="12297" max="12541" width="9.109375" style="231"/>
    <col min="12542" max="12542" width="9.6640625" style="231" customWidth="1"/>
    <col min="12543" max="12543" width="9.109375" style="231"/>
    <col min="12544" max="12544" width="8.6640625" style="231" customWidth="1"/>
    <col min="12545" max="12545" width="15" style="231" customWidth="1"/>
    <col min="12546" max="12546" width="7.44140625" style="231" customWidth="1"/>
    <col min="12547" max="12547" width="10.6640625" style="231" customWidth="1"/>
    <col min="12548" max="12548" width="27.88671875" style="231" customWidth="1"/>
    <col min="12549" max="12549" width="26.109375" style="231" customWidth="1"/>
    <col min="12550" max="12550" width="19.88671875" style="231" customWidth="1"/>
    <col min="12551" max="12551" width="11.6640625" style="231" customWidth="1"/>
    <col min="12552" max="12552" width="36.109375" style="231" customWidth="1"/>
    <col min="12553" max="12797" width="9.109375" style="231"/>
    <col min="12798" max="12798" width="9.6640625" style="231" customWidth="1"/>
    <col min="12799" max="12799" width="9.109375" style="231"/>
    <col min="12800" max="12800" width="8.6640625" style="231" customWidth="1"/>
    <col min="12801" max="12801" width="15" style="231" customWidth="1"/>
    <col min="12802" max="12802" width="7.44140625" style="231" customWidth="1"/>
    <col min="12803" max="12803" width="10.6640625" style="231" customWidth="1"/>
    <col min="12804" max="12804" width="27.88671875" style="231" customWidth="1"/>
    <col min="12805" max="12805" width="26.109375" style="231" customWidth="1"/>
    <col min="12806" max="12806" width="19.88671875" style="231" customWidth="1"/>
    <col min="12807" max="12807" width="11.6640625" style="231" customWidth="1"/>
    <col min="12808" max="12808" width="36.109375" style="231" customWidth="1"/>
    <col min="12809" max="13053" width="9.109375" style="231"/>
    <col min="13054" max="13054" width="9.6640625" style="231" customWidth="1"/>
    <col min="13055" max="13055" width="9.109375" style="231"/>
    <col min="13056" max="13056" width="8.6640625" style="231" customWidth="1"/>
    <col min="13057" max="13057" width="15" style="231" customWidth="1"/>
    <col min="13058" max="13058" width="7.44140625" style="231" customWidth="1"/>
    <col min="13059" max="13059" width="10.6640625" style="231" customWidth="1"/>
    <col min="13060" max="13060" width="27.88671875" style="231" customWidth="1"/>
    <col min="13061" max="13061" width="26.109375" style="231" customWidth="1"/>
    <col min="13062" max="13062" width="19.88671875" style="231" customWidth="1"/>
    <col min="13063" max="13063" width="11.6640625" style="231" customWidth="1"/>
    <col min="13064" max="13064" width="36.109375" style="231" customWidth="1"/>
    <col min="13065" max="13309" width="9.109375" style="231"/>
    <col min="13310" max="13310" width="9.6640625" style="231" customWidth="1"/>
    <col min="13311" max="13311" width="9.109375" style="231"/>
    <col min="13312" max="13312" width="8.6640625" style="231" customWidth="1"/>
    <col min="13313" max="13313" width="15" style="231" customWidth="1"/>
    <col min="13314" max="13314" width="7.44140625" style="231" customWidth="1"/>
    <col min="13315" max="13315" width="10.6640625" style="231" customWidth="1"/>
    <col min="13316" max="13316" width="27.88671875" style="231" customWidth="1"/>
    <col min="13317" max="13317" width="26.109375" style="231" customWidth="1"/>
    <col min="13318" max="13318" width="19.88671875" style="231" customWidth="1"/>
    <col min="13319" max="13319" width="11.6640625" style="231" customWidth="1"/>
    <col min="13320" max="13320" width="36.109375" style="231" customWidth="1"/>
    <col min="13321" max="13565" width="9.109375" style="231"/>
    <col min="13566" max="13566" width="9.6640625" style="231" customWidth="1"/>
    <col min="13567" max="13567" width="9.109375" style="231"/>
    <col min="13568" max="13568" width="8.6640625" style="231" customWidth="1"/>
    <col min="13569" max="13569" width="15" style="231" customWidth="1"/>
    <col min="13570" max="13570" width="7.44140625" style="231" customWidth="1"/>
    <col min="13571" max="13571" width="10.6640625" style="231" customWidth="1"/>
    <col min="13572" max="13572" width="27.88671875" style="231" customWidth="1"/>
    <col min="13573" max="13573" width="26.109375" style="231" customWidth="1"/>
    <col min="13574" max="13574" width="19.88671875" style="231" customWidth="1"/>
    <col min="13575" max="13575" width="11.6640625" style="231" customWidth="1"/>
    <col min="13576" max="13576" width="36.109375" style="231" customWidth="1"/>
    <col min="13577" max="13821" width="9.109375" style="231"/>
    <col min="13822" max="13822" width="9.6640625" style="231" customWidth="1"/>
    <col min="13823" max="13823" width="9.109375" style="231"/>
    <col min="13824" max="13824" width="8.6640625" style="231" customWidth="1"/>
    <col min="13825" max="13825" width="15" style="231" customWidth="1"/>
    <col min="13826" max="13826" width="7.44140625" style="231" customWidth="1"/>
    <col min="13827" max="13827" width="10.6640625" style="231" customWidth="1"/>
    <col min="13828" max="13828" width="27.88671875" style="231" customWidth="1"/>
    <col min="13829" max="13829" width="26.109375" style="231" customWidth="1"/>
    <col min="13830" max="13830" width="19.88671875" style="231" customWidth="1"/>
    <col min="13831" max="13831" width="11.6640625" style="231" customWidth="1"/>
    <col min="13832" max="13832" width="36.109375" style="231" customWidth="1"/>
    <col min="13833" max="14077" width="9.109375" style="231"/>
    <col min="14078" max="14078" width="9.6640625" style="231" customWidth="1"/>
    <col min="14079" max="14079" width="9.109375" style="231"/>
    <col min="14080" max="14080" width="8.6640625" style="231" customWidth="1"/>
    <col min="14081" max="14081" width="15" style="231" customWidth="1"/>
    <col min="14082" max="14082" width="7.44140625" style="231" customWidth="1"/>
    <col min="14083" max="14083" width="10.6640625" style="231" customWidth="1"/>
    <col min="14084" max="14084" width="27.88671875" style="231" customWidth="1"/>
    <col min="14085" max="14085" width="26.109375" style="231" customWidth="1"/>
    <col min="14086" max="14086" width="19.88671875" style="231" customWidth="1"/>
    <col min="14087" max="14087" width="11.6640625" style="231" customWidth="1"/>
    <col min="14088" max="14088" width="36.109375" style="231" customWidth="1"/>
    <col min="14089" max="14333" width="9.109375" style="231"/>
    <col min="14334" max="14334" width="9.6640625" style="231" customWidth="1"/>
    <col min="14335" max="14335" width="9.109375" style="231"/>
    <col min="14336" max="14336" width="8.6640625" style="231" customWidth="1"/>
    <col min="14337" max="14337" width="15" style="231" customWidth="1"/>
    <col min="14338" max="14338" width="7.44140625" style="231" customWidth="1"/>
    <col min="14339" max="14339" width="10.6640625" style="231" customWidth="1"/>
    <col min="14340" max="14340" width="27.88671875" style="231" customWidth="1"/>
    <col min="14341" max="14341" width="26.109375" style="231" customWidth="1"/>
    <col min="14342" max="14342" width="19.88671875" style="231" customWidth="1"/>
    <col min="14343" max="14343" width="11.6640625" style="231" customWidth="1"/>
    <col min="14344" max="14344" width="36.109375" style="231" customWidth="1"/>
    <col min="14345" max="14589" width="9.109375" style="231"/>
    <col min="14590" max="14590" width="9.6640625" style="231" customWidth="1"/>
    <col min="14591" max="14591" width="9.109375" style="231"/>
    <col min="14592" max="14592" width="8.6640625" style="231" customWidth="1"/>
    <col min="14593" max="14593" width="15" style="231" customWidth="1"/>
    <col min="14594" max="14594" width="7.44140625" style="231" customWidth="1"/>
    <col min="14595" max="14595" width="10.6640625" style="231" customWidth="1"/>
    <col min="14596" max="14596" width="27.88671875" style="231" customWidth="1"/>
    <col min="14597" max="14597" width="26.109375" style="231" customWidth="1"/>
    <col min="14598" max="14598" width="19.88671875" style="231" customWidth="1"/>
    <col min="14599" max="14599" width="11.6640625" style="231" customWidth="1"/>
    <col min="14600" max="14600" width="36.109375" style="231" customWidth="1"/>
    <col min="14601" max="14845" width="9.109375" style="231"/>
    <col min="14846" max="14846" width="9.6640625" style="231" customWidth="1"/>
    <col min="14847" max="14847" width="9.109375" style="231"/>
    <col min="14848" max="14848" width="8.6640625" style="231" customWidth="1"/>
    <col min="14849" max="14849" width="15" style="231" customWidth="1"/>
    <col min="14850" max="14850" width="7.44140625" style="231" customWidth="1"/>
    <col min="14851" max="14851" width="10.6640625" style="231" customWidth="1"/>
    <col min="14852" max="14852" width="27.88671875" style="231" customWidth="1"/>
    <col min="14853" max="14853" width="26.109375" style="231" customWidth="1"/>
    <col min="14854" max="14854" width="19.88671875" style="231" customWidth="1"/>
    <col min="14855" max="14855" width="11.6640625" style="231" customWidth="1"/>
    <col min="14856" max="14856" width="36.109375" style="231" customWidth="1"/>
    <col min="14857" max="15101" width="9.109375" style="231"/>
    <col min="15102" max="15102" width="9.6640625" style="231" customWidth="1"/>
    <col min="15103" max="15103" width="9.109375" style="231"/>
    <col min="15104" max="15104" width="8.6640625" style="231" customWidth="1"/>
    <col min="15105" max="15105" width="15" style="231" customWidth="1"/>
    <col min="15106" max="15106" width="7.44140625" style="231" customWidth="1"/>
    <col min="15107" max="15107" width="10.6640625" style="231" customWidth="1"/>
    <col min="15108" max="15108" width="27.88671875" style="231" customWidth="1"/>
    <col min="15109" max="15109" width="26.109375" style="231" customWidth="1"/>
    <col min="15110" max="15110" width="19.88671875" style="231" customWidth="1"/>
    <col min="15111" max="15111" width="11.6640625" style="231" customWidth="1"/>
    <col min="15112" max="15112" width="36.109375" style="231" customWidth="1"/>
    <col min="15113" max="15357" width="9.109375" style="231"/>
    <col min="15358" max="15358" width="9.6640625" style="231" customWidth="1"/>
    <col min="15359" max="15359" width="9.109375" style="231"/>
    <col min="15360" max="15360" width="8.6640625" style="231" customWidth="1"/>
    <col min="15361" max="15361" width="15" style="231" customWidth="1"/>
    <col min="15362" max="15362" width="7.44140625" style="231" customWidth="1"/>
    <col min="15363" max="15363" width="10.6640625" style="231" customWidth="1"/>
    <col min="15364" max="15364" width="27.88671875" style="231" customWidth="1"/>
    <col min="15365" max="15365" width="26.109375" style="231" customWidth="1"/>
    <col min="15366" max="15366" width="19.88671875" style="231" customWidth="1"/>
    <col min="15367" max="15367" width="11.6640625" style="231" customWidth="1"/>
    <col min="15368" max="15368" width="36.109375" style="231" customWidth="1"/>
    <col min="15369" max="15613" width="9.109375" style="231"/>
    <col min="15614" max="15614" width="9.6640625" style="231" customWidth="1"/>
    <col min="15615" max="15615" width="9.109375" style="231"/>
    <col min="15616" max="15616" width="8.6640625" style="231" customWidth="1"/>
    <col min="15617" max="15617" width="15" style="231" customWidth="1"/>
    <col min="15618" max="15618" width="7.44140625" style="231" customWidth="1"/>
    <col min="15619" max="15619" width="10.6640625" style="231" customWidth="1"/>
    <col min="15620" max="15620" width="27.88671875" style="231" customWidth="1"/>
    <col min="15621" max="15621" width="26.109375" style="231" customWidth="1"/>
    <col min="15622" max="15622" width="19.88671875" style="231" customWidth="1"/>
    <col min="15623" max="15623" width="11.6640625" style="231" customWidth="1"/>
    <col min="15624" max="15624" width="36.109375" style="231" customWidth="1"/>
    <col min="15625" max="15869" width="9.109375" style="231"/>
    <col min="15870" max="15870" width="9.6640625" style="231" customWidth="1"/>
    <col min="15871" max="15871" width="9.109375" style="231"/>
    <col min="15872" max="15872" width="8.6640625" style="231" customWidth="1"/>
    <col min="15873" max="15873" width="15" style="231" customWidth="1"/>
    <col min="15874" max="15874" width="7.44140625" style="231" customWidth="1"/>
    <col min="15875" max="15875" width="10.6640625" style="231" customWidth="1"/>
    <col min="15876" max="15876" width="27.88671875" style="231" customWidth="1"/>
    <col min="15877" max="15877" width="26.109375" style="231" customWidth="1"/>
    <col min="15878" max="15878" width="19.88671875" style="231" customWidth="1"/>
    <col min="15879" max="15879" width="11.6640625" style="231" customWidth="1"/>
    <col min="15880" max="15880" width="36.109375" style="231" customWidth="1"/>
    <col min="15881" max="16125" width="9.109375" style="231"/>
    <col min="16126" max="16126" width="9.6640625" style="231" customWidth="1"/>
    <col min="16127" max="16127" width="9.109375" style="231"/>
    <col min="16128" max="16128" width="8.6640625" style="231" customWidth="1"/>
    <col min="16129" max="16129" width="15" style="231" customWidth="1"/>
    <col min="16130" max="16130" width="7.44140625" style="231" customWidth="1"/>
    <col min="16131" max="16131" width="10.6640625" style="231" customWidth="1"/>
    <col min="16132" max="16132" width="27.88671875" style="231" customWidth="1"/>
    <col min="16133" max="16133" width="26.109375" style="231" customWidth="1"/>
    <col min="16134" max="16134" width="19.88671875" style="231" customWidth="1"/>
    <col min="16135" max="16135" width="11.6640625" style="231" customWidth="1"/>
    <col min="16136" max="16136" width="36.109375" style="231" customWidth="1"/>
    <col min="16137" max="16384" width="9.109375" style="231"/>
  </cols>
  <sheetData>
    <row r="1" spans="1:9" x14ac:dyDescent="0.3">
      <c r="A1" s="265"/>
      <c r="B1" s="265"/>
      <c r="C1" s="266"/>
      <c r="D1" s="267"/>
      <c r="E1" s="346"/>
      <c r="F1" s="267"/>
      <c r="G1" s="268"/>
      <c r="H1" s="268"/>
      <c r="I1" s="486" t="s">
        <v>732</v>
      </c>
    </row>
    <row r="2" spans="1:9" s="236" customFormat="1" ht="18" x14ac:dyDescent="0.35">
      <c r="A2" s="581" t="s">
        <v>733</v>
      </c>
      <c r="B2" s="581"/>
      <c r="C2" s="581"/>
      <c r="D2" s="581"/>
      <c r="E2" s="581"/>
      <c r="F2" s="581"/>
      <c r="G2" s="581"/>
      <c r="H2" s="581"/>
      <c r="I2" s="581"/>
    </row>
    <row r="3" spans="1:9" s="236" customFormat="1" ht="18.75" customHeight="1" x14ac:dyDescent="0.35">
      <c r="A3" s="593" t="str">
        <f>'Заголовочная часть'!B14</f>
        <v>Областное государственное бюджетное профессиональное образовательное учреждение "Костромской автодорожный колледж"</v>
      </c>
      <c r="B3" s="593"/>
      <c r="C3" s="593"/>
      <c r="D3" s="593"/>
      <c r="E3" s="593"/>
      <c r="F3" s="593"/>
      <c r="G3" s="593"/>
      <c r="H3" s="593"/>
      <c r="I3" s="593"/>
    </row>
    <row r="4" spans="1:9" s="236" customFormat="1" ht="18" x14ac:dyDescent="0.35">
      <c r="A4" s="593"/>
      <c r="B4" s="593"/>
      <c r="C4" s="593"/>
      <c r="D4" s="593"/>
      <c r="E4" s="593"/>
      <c r="F4" s="593"/>
      <c r="G4" s="593"/>
      <c r="H4" s="593"/>
      <c r="I4" s="593"/>
    </row>
    <row r="5" spans="1:9" x14ac:dyDescent="0.3">
      <c r="A5" s="269"/>
      <c r="B5" s="269"/>
      <c r="C5" s="269"/>
      <c r="D5" s="269"/>
      <c r="E5" s="347"/>
      <c r="F5" s="269"/>
      <c r="G5" s="269"/>
      <c r="H5" s="269"/>
      <c r="I5" s="487"/>
    </row>
    <row r="6" spans="1:9" x14ac:dyDescent="0.3">
      <c r="A6" s="582" t="s">
        <v>482</v>
      </c>
      <c r="B6" s="582" t="s">
        <v>229</v>
      </c>
      <c r="C6" s="583" t="s">
        <v>184</v>
      </c>
      <c r="D6" s="583" t="s">
        <v>786</v>
      </c>
      <c r="E6" s="591" t="s">
        <v>900</v>
      </c>
      <c r="F6" s="582" t="s">
        <v>393</v>
      </c>
      <c r="G6" s="585" t="s">
        <v>394</v>
      </c>
      <c r="H6" s="586"/>
      <c r="I6" s="584" t="s">
        <v>373</v>
      </c>
    </row>
    <row r="7" spans="1:9" x14ac:dyDescent="0.3">
      <c r="A7" s="582"/>
      <c r="B7" s="582"/>
      <c r="C7" s="583"/>
      <c r="D7" s="583"/>
      <c r="E7" s="591"/>
      <c r="F7" s="582"/>
      <c r="G7" s="587"/>
      <c r="H7" s="588"/>
      <c r="I7" s="584"/>
    </row>
    <row r="8" spans="1:9" x14ac:dyDescent="0.3">
      <c r="A8" s="582"/>
      <c r="B8" s="582"/>
      <c r="C8" s="583"/>
      <c r="D8" s="583"/>
      <c r="E8" s="591"/>
      <c r="F8" s="582"/>
      <c r="G8" s="589"/>
      <c r="H8" s="590"/>
      <c r="I8" s="584"/>
    </row>
    <row r="9" spans="1:9" ht="46.8" x14ac:dyDescent="0.3">
      <c r="A9" s="582"/>
      <c r="B9" s="582"/>
      <c r="C9" s="583"/>
      <c r="D9" s="583"/>
      <c r="E9" s="591"/>
      <c r="F9" s="582"/>
      <c r="G9" s="270" t="s">
        <v>745</v>
      </c>
      <c r="H9" s="270" t="s">
        <v>746</v>
      </c>
      <c r="I9" s="584"/>
    </row>
    <row r="10" spans="1:9" hidden="1" x14ac:dyDescent="0.3">
      <c r="A10" s="270" t="s">
        <v>483</v>
      </c>
      <c r="B10" s="270" t="s">
        <v>484</v>
      </c>
      <c r="C10" s="271" t="s">
        <v>485</v>
      </c>
      <c r="D10" s="271" t="s">
        <v>424</v>
      </c>
      <c r="E10" s="434" t="s">
        <v>424</v>
      </c>
      <c r="F10" s="270" t="s">
        <v>427</v>
      </c>
      <c r="G10" s="270" t="s">
        <v>429</v>
      </c>
      <c r="H10" s="270" t="s">
        <v>430</v>
      </c>
      <c r="I10" s="488">
        <v>8</v>
      </c>
    </row>
    <row r="11" spans="1:9" x14ac:dyDescent="0.3">
      <c r="A11" s="592" t="s">
        <v>747</v>
      </c>
      <c r="B11" s="592"/>
      <c r="C11" s="592"/>
      <c r="D11" s="592"/>
      <c r="E11" s="592"/>
      <c r="F11" s="592"/>
      <c r="G11" s="592"/>
      <c r="H11" s="592"/>
      <c r="I11" s="592"/>
    </row>
    <row r="12" spans="1:9" x14ac:dyDescent="0.3">
      <c r="A12" s="592" t="s">
        <v>751</v>
      </c>
      <c r="B12" s="592"/>
      <c r="C12" s="592"/>
      <c r="D12" s="592"/>
      <c r="E12" s="592"/>
      <c r="F12" s="592"/>
      <c r="G12" s="592"/>
      <c r="H12" s="592"/>
      <c r="I12" s="592"/>
    </row>
    <row r="13" spans="1:9" x14ac:dyDescent="0.3">
      <c r="A13" s="79" t="s">
        <v>185</v>
      </c>
      <c r="B13" s="286">
        <v>111</v>
      </c>
      <c r="C13" s="286" t="s">
        <v>186</v>
      </c>
      <c r="D13" s="278">
        <f>'Приложение 1'!G33</f>
        <v>14584560</v>
      </c>
      <c r="E13" s="348">
        <f>'Приложение 1'!H33</f>
        <v>2538028</v>
      </c>
      <c r="F13" s="278">
        <f>D13/2</f>
        <v>7292280</v>
      </c>
      <c r="G13" s="278">
        <f>F13-D13</f>
        <v>-7292280</v>
      </c>
      <c r="H13" s="280">
        <f>F13/D13*100</f>
        <v>50</v>
      </c>
      <c r="I13" s="358" t="s">
        <v>937</v>
      </c>
    </row>
    <row r="14" spans="1:9" x14ac:dyDescent="0.3">
      <c r="A14" s="79" t="s">
        <v>189</v>
      </c>
      <c r="B14" s="286">
        <v>119</v>
      </c>
      <c r="C14" s="286" t="s">
        <v>190</v>
      </c>
      <c r="D14" s="278">
        <f>'119'!D24</f>
        <v>4404537.12</v>
      </c>
      <c r="E14" s="348">
        <f>'119'!F24</f>
        <v>766484.46</v>
      </c>
      <c r="F14" s="278">
        <f>D14/2</f>
        <v>2202268.56</v>
      </c>
      <c r="G14" s="278">
        <f>F14-D14</f>
        <v>-2202268.56</v>
      </c>
      <c r="H14" s="280">
        <f>F14/D14*100</f>
        <v>50</v>
      </c>
      <c r="I14" s="358"/>
    </row>
    <row r="15" spans="1:9" s="276" customFormat="1" x14ac:dyDescent="0.3">
      <c r="A15" s="277" t="s">
        <v>743</v>
      </c>
      <c r="B15" s="264"/>
      <c r="C15" s="264"/>
      <c r="D15" s="279">
        <f>SUM(D13:D14)</f>
        <v>18989097.120000001</v>
      </c>
      <c r="E15" s="349">
        <f>SUM(E13:E14)</f>
        <v>3304512.46</v>
      </c>
      <c r="F15" s="279">
        <f>SUM(F13:F14)</f>
        <v>9494548.5600000005</v>
      </c>
      <c r="G15" s="279">
        <f>F15-D15</f>
        <v>-9494548.5600000005</v>
      </c>
      <c r="H15" s="281">
        <f>F15/D15*100</f>
        <v>50</v>
      </c>
      <c r="I15" s="489"/>
    </row>
    <row r="16" spans="1:9" x14ac:dyDescent="0.3">
      <c r="A16" s="592" t="s">
        <v>681</v>
      </c>
      <c r="B16" s="592"/>
      <c r="C16" s="592"/>
      <c r="D16" s="592"/>
      <c r="E16" s="592"/>
      <c r="F16" s="592"/>
      <c r="G16" s="592"/>
      <c r="H16" s="592"/>
      <c r="I16" s="592"/>
    </row>
    <row r="17" spans="1:9" ht="62.4" hidden="1" x14ac:dyDescent="0.3">
      <c r="A17" s="79" t="s">
        <v>187</v>
      </c>
      <c r="B17" s="286">
        <v>112</v>
      </c>
      <c r="C17" s="286" t="s">
        <v>188</v>
      </c>
      <c r="D17" s="278">
        <f>'112'!G15</f>
        <v>20000</v>
      </c>
      <c r="E17" s="348">
        <f>'112'!H15</f>
        <v>25000</v>
      </c>
      <c r="F17" s="278">
        <f>13881-F39</f>
        <v>681</v>
      </c>
      <c r="G17" s="278">
        <f>F17-D17</f>
        <v>-19319</v>
      </c>
      <c r="H17" s="280">
        <f>F17/D17*100</f>
        <v>3.41</v>
      </c>
      <c r="I17" s="358" t="s">
        <v>924</v>
      </c>
    </row>
    <row r="18" spans="1:9" hidden="1" x14ac:dyDescent="0.3">
      <c r="A18" s="79" t="s">
        <v>191</v>
      </c>
      <c r="B18" s="286">
        <v>244</v>
      </c>
      <c r="C18" s="286" t="s">
        <v>192</v>
      </c>
      <c r="D18" s="278">
        <f>'221, 222, 224'!G12</f>
        <v>18000</v>
      </c>
      <c r="E18" s="348">
        <f>'221, 222, 224'!H12</f>
        <v>18000</v>
      </c>
      <c r="F18" s="278">
        <v>18000</v>
      </c>
      <c r="G18" s="278">
        <f t="shared" ref="G18" si="0">F18-D18</f>
        <v>0</v>
      </c>
      <c r="H18" s="280">
        <f t="shared" ref="H18" si="1">F18/D18*100</f>
        <v>100</v>
      </c>
      <c r="I18" s="358"/>
    </row>
    <row r="19" spans="1:9" ht="46.8" hidden="1" x14ac:dyDescent="0.3">
      <c r="A19" s="79" t="s">
        <v>204</v>
      </c>
      <c r="B19" s="286">
        <v>244</v>
      </c>
      <c r="C19" s="286" t="s">
        <v>205</v>
      </c>
      <c r="D19" s="278">
        <f>'226'!G19</f>
        <v>146500</v>
      </c>
      <c r="E19" s="348">
        <f>'226'!H19</f>
        <v>0</v>
      </c>
      <c r="F19" s="471"/>
      <c r="G19" s="278">
        <f t="shared" ref="G19:G30" si="2">F19-D19</f>
        <v>-146500</v>
      </c>
      <c r="H19" s="280">
        <f t="shared" ref="H19:H30" si="3">F19/D19*100</f>
        <v>0</v>
      </c>
      <c r="I19" s="358" t="s">
        <v>925</v>
      </c>
    </row>
    <row r="20" spans="1:9" hidden="1" x14ac:dyDescent="0.3">
      <c r="A20" s="79" t="s">
        <v>207</v>
      </c>
      <c r="B20" s="286">
        <v>852</v>
      </c>
      <c r="C20" s="286" t="s">
        <v>208</v>
      </c>
      <c r="D20" s="278">
        <f>'851, 852, 853'!F33+'851, 852, 853'!F34</f>
        <v>245000</v>
      </c>
      <c r="E20" s="348">
        <f>'851, 852, 853'!G33+'851, 852, 853'!G34</f>
        <v>0</v>
      </c>
      <c r="F20" s="278">
        <v>245000</v>
      </c>
      <c r="G20" s="278">
        <f>F20-D20</f>
        <v>0</v>
      </c>
      <c r="H20" s="280">
        <f>F20/D20*100</f>
        <v>100</v>
      </c>
      <c r="I20" s="358"/>
    </row>
    <row r="21" spans="1:9" ht="31.2" hidden="1" x14ac:dyDescent="0.3">
      <c r="A21" s="79" t="s">
        <v>209</v>
      </c>
      <c r="B21" s="286">
        <v>244</v>
      </c>
      <c r="C21" s="286" t="s">
        <v>210</v>
      </c>
      <c r="D21" s="278">
        <f>'310, 340'!G8+'310, 340'!G17</f>
        <v>752000</v>
      </c>
      <c r="E21" s="348">
        <f>'310, 340'!H8+'310, 340'!H17</f>
        <v>200000</v>
      </c>
      <c r="F21" s="278">
        <v>100000</v>
      </c>
      <c r="G21" s="278">
        <f t="shared" si="2"/>
        <v>-652000</v>
      </c>
      <c r="H21" s="280">
        <f t="shared" si="3"/>
        <v>13.3</v>
      </c>
      <c r="I21" s="358" t="s">
        <v>926</v>
      </c>
    </row>
    <row r="22" spans="1:9" ht="31.2" hidden="1" x14ac:dyDescent="0.3">
      <c r="A22" s="79" t="s">
        <v>215</v>
      </c>
      <c r="B22" s="286">
        <v>244</v>
      </c>
      <c r="C22" s="286" t="s">
        <v>216</v>
      </c>
      <c r="D22" s="278">
        <f>'310, 340'!G22</f>
        <v>4793100</v>
      </c>
      <c r="E22" s="348">
        <f>'310, 340'!H22</f>
        <v>540000</v>
      </c>
      <c r="F22" s="278">
        <v>1533196</v>
      </c>
      <c r="G22" s="278">
        <f t="shared" si="2"/>
        <v>-3259904</v>
      </c>
      <c r="H22" s="280">
        <f t="shared" si="3"/>
        <v>31.99</v>
      </c>
      <c r="I22" s="358" t="s">
        <v>927</v>
      </c>
    </row>
    <row r="23" spans="1:9" ht="46.8" hidden="1" x14ac:dyDescent="0.3">
      <c r="A23" s="79" t="s">
        <v>217</v>
      </c>
      <c r="B23" s="286">
        <v>244</v>
      </c>
      <c r="C23" s="286" t="s">
        <v>218</v>
      </c>
      <c r="D23" s="278">
        <f>'310, 340'!G25+'310, 340'!G30+'310, 340'!G30</f>
        <v>1100970</v>
      </c>
      <c r="E23" s="348">
        <f>'310, 340'!H25+'310, 340'!H30+'310, 340'!H30</f>
        <v>0</v>
      </c>
      <c r="F23" s="278">
        <f>198841-48160</f>
        <v>150681</v>
      </c>
      <c r="G23" s="278">
        <f t="shared" si="2"/>
        <v>-950289</v>
      </c>
      <c r="H23" s="280">
        <f t="shared" si="3"/>
        <v>13.69</v>
      </c>
      <c r="I23" s="358" t="s">
        <v>928</v>
      </c>
    </row>
    <row r="24" spans="1:9" s="276" customFormat="1" x14ac:dyDescent="0.3">
      <c r="A24" s="277" t="s">
        <v>744</v>
      </c>
      <c r="B24" s="264"/>
      <c r="C24" s="264"/>
      <c r="D24" s="279">
        <f>SUM(D17:D23)</f>
        <v>7075570</v>
      </c>
      <c r="E24" s="349">
        <f>SUM(E17:E23)</f>
        <v>783000</v>
      </c>
      <c r="F24" s="279">
        <f>SUM(F17:F23)</f>
        <v>2047558</v>
      </c>
      <c r="G24" s="279">
        <f t="shared" ref="G24" si="4">F24-D24</f>
        <v>-5028012</v>
      </c>
      <c r="H24" s="281">
        <f t="shared" ref="H24" si="5">F24/D24*100</f>
        <v>28.94</v>
      </c>
      <c r="I24" s="489"/>
    </row>
    <row r="25" spans="1:9" x14ac:dyDescent="0.3">
      <c r="A25" s="592" t="s">
        <v>762</v>
      </c>
      <c r="B25" s="592"/>
      <c r="C25" s="592"/>
      <c r="D25" s="592"/>
      <c r="E25" s="592"/>
      <c r="F25" s="592"/>
      <c r="G25" s="592"/>
      <c r="H25" s="592"/>
      <c r="I25" s="592"/>
    </row>
    <row r="26" spans="1:9" hidden="1" x14ac:dyDescent="0.3">
      <c r="A26" s="79" t="s">
        <v>200</v>
      </c>
      <c r="B26" s="286">
        <v>244</v>
      </c>
      <c r="C26" s="286" t="s">
        <v>201</v>
      </c>
      <c r="D26" s="278">
        <f>'221, 222, 224'!G46</f>
        <v>0</v>
      </c>
      <c r="E26" s="348">
        <f>'221, 222, 224'!H46</f>
        <v>0</v>
      </c>
      <c r="F26" s="278"/>
      <c r="G26" s="278">
        <f t="shared" ref="G26" si="6">F26-D26</f>
        <v>0</v>
      </c>
      <c r="H26" s="280" t="e">
        <f t="shared" ref="H26" si="7">F26/D26*100</f>
        <v>#DIV/0!</v>
      </c>
      <c r="I26" s="358"/>
    </row>
    <row r="27" spans="1:9" hidden="1" x14ac:dyDescent="0.3">
      <c r="A27" s="79" t="s">
        <v>209</v>
      </c>
      <c r="B27" s="286">
        <v>244</v>
      </c>
      <c r="C27" s="286" t="s">
        <v>210</v>
      </c>
      <c r="D27" s="278">
        <f>'310, 340'!G39</f>
        <v>0</v>
      </c>
      <c r="E27" s="348">
        <f>'310, 340'!H39</f>
        <v>0</v>
      </c>
      <c r="F27" s="278"/>
      <c r="G27" s="278">
        <f t="shared" si="2"/>
        <v>0</v>
      </c>
      <c r="H27" s="280" t="e">
        <f t="shared" si="3"/>
        <v>#DIV/0!</v>
      </c>
      <c r="I27" s="358"/>
    </row>
    <row r="28" spans="1:9" ht="46.8" hidden="1" x14ac:dyDescent="0.3">
      <c r="A28" s="79" t="s">
        <v>211</v>
      </c>
      <c r="B28" s="286">
        <v>244</v>
      </c>
      <c r="C28" s="286" t="s">
        <v>212</v>
      </c>
      <c r="D28" s="278">
        <f>'310, 340'!G43</f>
        <v>73000</v>
      </c>
      <c r="E28" s="348">
        <f>'310, 340'!H43</f>
        <v>0</v>
      </c>
      <c r="F28" s="278">
        <v>10833</v>
      </c>
      <c r="G28" s="278">
        <f t="shared" si="2"/>
        <v>-62167</v>
      </c>
      <c r="H28" s="280">
        <f t="shared" si="3"/>
        <v>14.84</v>
      </c>
      <c r="I28" s="358" t="s">
        <v>929</v>
      </c>
    </row>
    <row r="29" spans="1:9" ht="31.2" hidden="1" x14ac:dyDescent="0.3">
      <c r="A29" s="79" t="s">
        <v>213</v>
      </c>
      <c r="B29" s="286">
        <v>244</v>
      </c>
      <c r="C29" s="286" t="s">
        <v>214</v>
      </c>
      <c r="D29" s="278">
        <f>'310, 340'!G44</f>
        <v>3108893.58</v>
      </c>
      <c r="E29" s="348">
        <f>'310, 340'!H44</f>
        <v>845400</v>
      </c>
      <c r="F29" s="278">
        <v>1865336</v>
      </c>
      <c r="G29" s="278">
        <f t="shared" si="2"/>
        <v>-1243557.58</v>
      </c>
      <c r="H29" s="280">
        <f t="shared" si="3"/>
        <v>60</v>
      </c>
      <c r="I29" s="358" t="s">
        <v>930</v>
      </c>
    </row>
    <row r="30" spans="1:9" ht="31.2" hidden="1" x14ac:dyDescent="0.3">
      <c r="A30" s="79" t="s">
        <v>217</v>
      </c>
      <c r="B30" s="286">
        <v>244</v>
      </c>
      <c r="C30" s="286" t="s">
        <v>218</v>
      </c>
      <c r="D30" s="278"/>
      <c r="E30" s="348"/>
      <c r="F30" s="278"/>
      <c r="G30" s="278">
        <f t="shared" si="2"/>
        <v>0</v>
      </c>
      <c r="H30" s="280" t="e">
        <f t="shared" si="3"/>
        <v>#DIV/0!</v>
      </c>
      <c r="I30" s="358"/>
    </row>
    <row r="31" spans="1:9" s="276" customFormat="1" x14ac:dyDescent="0.3">
      <c r="A31" s="277" t="s">
        <v>761</v>
      </c>
      <c r="B31" s="264"/>
      <c r="C31" s="264"/>
      <c r="D31" s="279">
        <f>SUM(D26:D30)</f>
        <v>3181893.58</v>
      </c>
      <c r="E31" s="349">
        <f>SUM(E26:E30)</f>
        <v>845400</v>
      </c>
      <c r="F31" s="279">
        <f>SUM(F26:F30)</f>
        <v>1876169</v>
      </c>
      <c r="G31" s="279">
        <f t="shared" ref="G31" si="8">F31-D31</f>
        <v>-1305724.58</v>
      </c>
      <c r="H31" s="281">
        <f t="shared" ref="H31" si="9">F31/D31*100</f>
        <v>58.96</v>
      </c>
      <c r="I31" s="489"/>
    </row>
    <row r="32" spans="1:9" s="285" customFormat="1" ht="34.799999999999997" x14ac:dyDescent="0.3">
      <c r="A32" s="282" t="s">
        <v>750</v>
      </c>
      <c r="B32" s="287"/>
      <c r="C32" s="287"/>
      <c r="D32" s="283">
        <f>D15+D24+D31</f>
        <v>29246560.699999999</v>
      </c>
      <c r="E32" s="350">
        <f>E15+E24+E31</f>
        <v>4932912.46</v>
      </c>
      <c r="F32" s="283">
        <f>F15+F24+F31</f>
        <v>13418275.560000001</v>
      </c>
      <c r="G32" s="283">
        <f t="shared" ref="G32" si="10">F32-D32</f>
        <v>-15828285.140000001</v>
      </c>
      <c r="H32" s="284">
        <f t="shared" ref="H32" si="11">F32/D32*100</f>
        <v>45.88</v>
      </c>
      <c r="I32" s="472"/>
    </row>
    <row r="33" spans="1:9" x14ac:dyDescent="0.3">
      <c r="A33" s="592" t="s">
        <v>749</v>
      </c>
      <c r="B33" s="592"/>
      <c r="C33" s="592"/>
      <c r="D33" s="592"/>
      <c r="E33" s="592"/>
      <c r="F33" s="592"/>
      <c r="G33" s="592"/>
      <c r="H33" s="592"/>
      <c r="I33" s="592"/>
    </row>
    <row r="34" spans="1:9" ht="15.75" customHeight="1" x14ac:dyDescent="0.3">
      <c r="A34" s="592" t="s">
        <v>752</v>
      </c>
      <c r="B34" s="592"/>
      <c r="C34" s="592"/>
      <c r="D34" s="592"/>
      <c r="E34" s="592"/>
      <c r="F34" s="592"/>
      <c r="G34" s="592"/>
      <c r="H34" s="592"/>
      <c r="I34" s="592"/>
    </row>
    <row r="35" spans="1:9" x14ac:dyDescent="0.3">
      <c r="A35" s="79" t="s">
        <v>185</v>
      </c>
      <c r="B35" s="286">
        <v>111</v>
      </c>
      <c r="C35" s="286" t="s">
        <v>186</v>
      </c>
      <c r="D35" s="278">
        <f>'Приложение 1'!G34</f>
        <v>13595509</v>
      </c>
      <c r="E35" s="348">
        <f>'Приложение 1'!H34</f>
        <v>2223203</v>
      </c>
      <c r="F35" s="278">
        <f>14090034.5-F13</f>
        <v>6797754.5</v>
      </c>
      <c r="G35" s="278">
        <f t="shared" ref="G35:G40" si="12">F35-D35</f>
        <v>-6797754.5</v>
      </c>
      <c r="H35" s="280">
        <f t="shared" ref="H35:H40" si="13">F35/D35*100</f>
        <v>50</v>
      </c>
      <c r="I35" s="358" t="s">
        <v>937</v>
      </c>
    </row>
    <row r="36" spans="1:9" x14ac:dyDescent="0.3">
      <c r="A36" s="79" t="s">
        <v>189</v>
      </c>
      <c r="B36" s="286">
        <v>119</v>
      </c>
      <c r="C36" s="286" t="s">
        <v>190</v>
      </c>
      <c r="D36" s="278">
        <f>'119'!D25</f>
        <v>4105843.88</v>
      </c>
      <c r="E36" s="348">
        <f>'119'!F25</f>
        <v>671406.34</v>
      </c>
      <c r="F36" s="278">
        <f>4255190.5-F14</f>
        <v>2052921.94</v>
      </c>
      <c r="G36" s="278">
        <f t="shared" si="12"/>
        <v>-2052921.94</v>
      </c>
      <c r="H36" s="280">
        <f t="shared" si="13"/>
        <v>50</v>
      </c>
      <c r="I36" s="358"/>
    </row>
    <row r="37" spans="1:9" s="276" customFormat="1" x14ac:dyDescent="0.3">
      <c r="A37" s="277" t="s">
        <v>753</v>
      </c>
      <c r="B37" s="264"/>
      <c r="C37" s="264"/>
      <c r="D37" s="279">
        <f>SUM(D35:D36)</f>
        <v>17701352.879999999</v>
      </c>
      <c r="E37" s="349">
        <f>SUM(E35:E36)</f>
        <v>2894609.34</v>
      </c>
      <c r="F37" s="279">
        <f>SUM(F35:F36)</f>
        <v>8850676.4399999995</v>
      </c>
      <c r="G37" s="279">
        <f>F37-D37</f>
        <v>-8850676.4399999995</v>
      </c>
      <c r="H37" s="281">
        <f>F37/D37*100</f>
        <v>50</v>
      </c>
      <c r="I37" s="489"/>
    </row>
    <row r="38" spans="1:9" ht="15.75" customHeight="1" x14ac:dyDescent="0.3">
      <c r="A38" s="592" t="s">
        <v>682</v>
      </c>
      <c r="B38" s="592"/>
      <c r="C38" s="592"/>
      <c r="D38" s="592"/>
      <c r="E38" s="592"/>
      <c r="F38" s="592"/>
      <c r="G38" s="592"/>
      <c r="H38" s="592"/>
      <c r="I38" s="592"/>
    </row>
    <row r="39" spans="1:9" hidden="1" x14ac:dyDescent="0.3">
      <c r="A39" s="79" t="s">
        <v>187</v>
      </c>
      <c r="B39" s="286">
        <v>112</v>
      </c>
      <c r="C39" s="286" t="s">
        <v>188</v>
      </c>
      <c r="D39" s="278">
        <f>'112'!G44</f>
        <v>13200</v>
      </c>
      <c r="E39" s="348">
        <f>'112'!H44</f>
        <v>0</v>
      </c>
      <c r="F39" s="278">
        <v>13200</v>
      </c>
      <c r="G39" s="278">
        <f t="shared" ref="G39" si="14">F39-D39</f>
        <v>0</v>
      </c>
      <c r="H39" s="280">
        <f t="shared" ref="H39" si="15">F39/D39*100</f>
        <v>100</v>
      </c>
      <c r="I39" s="358"/>
    </row>
    <row r="40" spans="1:9" ht="31.2" hidden="1" x14ac:dyDescent="0.3">
      <c r="A40" s="79" t="s">
        <v>231</v>
      </c>
      <c r="B40" s="286">
        <v>321</v>
      </c>
      <c r="C40" s="286" t="s">
        <v>206</v>
      </c>
      <c r="D40" s="278">
        <f>'321'!F13</f>
        <v>0</v>
      </c>
      <c r="E40" s="348">
        <f>'321'!G13</f>
        <v>0</v>
      </c>
      <c r="F40" s="278"/>
      <c r="G40" s="278">
        <f t="shared" si="12"/>
        <v>0</v>
      </c>
      <c r="H40" s="280" t="e">
        <f t="shared" si="13"/>
        <v>#DIV/0!</v>
      </c>
      <c r="I40" s="358"/>
    </row>
    <row r="41" spans="1:9" s="276" customFormat="1" x14ac:dyDescent="0.3">
      <c r="A41" s="277" t="s">
        <v>754</v>
      </c>
      <c r="B41" s="264"/>
      <c r="C41" s="264"/>
      <c r="D41" s="279">
        <f>SUM(D39:D40)</f>
        <v>13200</v>
      </c>
      <c r="E41" s="349">
        <f>SUM(E39:E40)</f>
        <v>0</v>
      </c>
      <c r="F41" s="279">
        <f>SUM(F39:F40)</f>
        <v>13200</v>
      </c>
      <c r="G41" s="279">
        <f>F41-D41</f>
        <v>0</v>
      </c>
      <c r="H41" s="281">
        <f>F41/D41*100</f>
        <v>100</v>
      </c>
      <c r="I41" s="489"/>
    </row>
    <row r="42" spans="1:9" ht="15.75" customHeight="1" x14ac:dyDescent="0.3">
      <c r="A42" s="592" t="s">
        <v>692</v>
      </c>
      <c r="B42" s="592"/>
      <c r="C42" s="592"/>
      <c r="D42" s="592"/>
      <c r="E42" s="592"/>
      <c r="F42" s="592"/>
      <c r="G42" s="592"/>
      <c r="H42" s="592"/>
      <c r="I42" s="592"/>
    </row>
    <row r="43" spans="1:9" ht="46.8" hidden="1" x14ac:dyDescent="0.3">
      <c r="A43" s="79" t="s">
        <v>191</v>
      </c>
      <c r="B43" s="286">
        <v>244</v>
      </c>
      <c r="C43" s="286" t="s">
        <v>192</v>
      </c>
      <c r="D43" s="278">
        <f>'221, 222, 224'!G20</f>
        <v>67400</v>
      </c>
      <c r="E43" s="348">
        <f>'221, 222, 224'!H20</f>
        <v>97000</v>
      </c>
      <c r="F43" s="278">
        <v>37000</v>
      </c>
      <c r="G43" s="278">
        <f t="shared" ref="G43" si="16">F43-D43</f>
        <v>-30400</v>
      </c>
      <c r="H43" s="280">
        <f t="shared" ref="H43" si="17">F43/D43*100</f>
        <v>54.9</v>
      </c>
      <c r="I43" s="358" t="s">
        <v>915</v>
      </c>
    </row>
    <row r="44" spans="1:9" s="276" customFormat="1" x14ac:dyDescent="0.3">
      <c r="A44" s="277" t="s">
        <v>755</v>
      </c>
      <c r="B44" s="264"/>
      <c r="C44" s="264"/>
      <c r="D44" s="279">
        <f>SUM(D43:D43)</f>
        <v>67400</v>
      </c>
      <c r="E44" s="349">
        <f>SUM(E43:E43)</f>
        <v>97000</v>
      </c>
      <c r="F44" s="279">
        <f>SUM(F43:F43)</f>
        <v>37000</v>
      </c>
      <c r="G44" s="279">
        <f>F44-D44</f>
        <v>-30400</v>
      </c>
      <c r="H44" s="281">
        <f>F44/D44*100</f>
        <v>54.9</v>
      </c>
      <c r="I44" s="489"/>
    </row>
    <row r="45" spans="1:9" ht="15.75" customHeight="1" x14ac:dyDescent="0.3">
      <c r="A45" s="592" t="s">
        <v>696</v>
      </c>
      <c r="B45" s="592"/>
      <c r="C45" s="592"/>
      <c r="D45" s="592"/>
      <c r="E45" s="592"/>
      <c r="F45" s="592"/>
      <c r="G45" s="592"/>
      <c r="H45" s="592"/>
      <c r="I45" s="592"/>
    </row>
    <row r="46" spans="1:9" hidden="1" x14ac:dyDescent="0.3">
      <c r="A46" s="79" t="s">
        <v>193</v>
      </c>
      <c r="B46" s="286">
        <v>244</v>
      </c>
      <c r="C46" s="286" t="s">
        <v>194</v>
      </c>
      <c r="D46" s="278">
        <f>'221, 222, 224'!F35</f>
        <v>5229</v>
      </c>
      <c r="E46" s="348">
        <f>'221, 222, 224'!G35</f>
        <v>0</v>
      </c>
      <c r="F46" s="278">
        <v>5229</v>
      </c>
      <c r="G46" s="278">
        <f t="shared" ref="G46" si="18">F46-D46</f>
        <v>0</v>
      </c>
      <c r="H46" s="280">
        <f t="shared" ref="H46" si="19">F46/D46*100</f>
        <v>100</v>
      </c>
      <c r="I46" s="358"/>
    </row>
    <row r="47" spans="1:9" s="276" customFormat="1" x14ac:dyDescent="0.3">
      <c r="A47" s="277" t="s">
        <v>756</v>
      </c>
      <c r="B47" s="264"/>
      <c r="C47" s="264"/>
      <c r="D47" s="279">
        <f>SUM(D46:D46)</f>
        <v>5229</v>
      </c>
      <c r="E47" s="349">
        <f>SUM(E46:E46)</f>
        <v>0</v>
      </c>
      <c r="F47" s="279">
        <f>SUM(F46:F46)</f>
        <v>5229</v>
      </c>
      <c r="G47" s="279">
        <f>F47-D47</f>
        <v>0</v>
      </c>
      <c r="H47" s="281">
        <f>F47/D47*100</f>
        <v>100</v>
      </c>
      <c r="I47" s="489"/>
    </row>
    <row r="48" spans="1:9" ht="15.75" customHeight="1" x14ac:dyDescent="0.3">
      <c r="A48" s="592" t="s">
        <v>693</v>
      </c>
      <c r="B48" s="592"/>
      <c r="C48" s="592"/>
      <c r="D48" s="592"/>
      <c r="E48" s="592"/>
      <c r="F48" s="592"/>
      <c r="G48" s="592"/>
      <c r="H48" s="592"/>
      <c r="I48" s="592"/>
    </row>
    <row r="49" spans="1:9" ht="31.2" hidden="1" x14ac:dyDescent="0.3">
      <c r="A49" s="79" t="s">
        <v>195</v>
      </c>
      <c r="B49" s="286">
        <v>244</v>
      </c>
      <c r="C49" s="286" t="s">
        <v>196</v>
      </c>
      <c r="D49" s="278">
        <f>'223'!N9+'223'!N10+'223'!N11</f>
        <v>3787857.74</v>
      </c>
      <c r="E49" s="348">
        <f>'223'!Q9+'223'!Q10+'223'!Q11</f>
        <v>1021019.88</v>
      </c>
      <c r="F49" s="278">
        <f>6196930*0.5</f>
        <v>3098465</v>
      </c>
      <c r="G49" s="278">
        <f t="shared" ref="G49:G53" si="20">F49-D49</f>
        <v>-689392.74</v>
      </c>
      <c r="H49" s="280">
        <f t="shared" ref="H49:H53" si="21">F49/D49*100</f>
        <v>81.8</v>
      </c>
      <c r="I49" s="358" t="s">
        <v>901</v>
      </c>
    </row>
    <row r="50" spans="1:9" ht="31.2" hidden="1" x14ac:dyDescent="0.3">
      <c r="A50" s="79" t="s">
        <v>197</v>
      </c>
      <c r="B50" s="286">
        <v>244</v>
      </c>
      <c r="C50" s="286" t="s">
        <v>198</v>
      </c>
      <c r="D50" s="278">
        <f>'223'!L12</f>
        <v>3186467.61</v>
      </c>
      <c r="E50" s="348">
        <f>'223'!Q12</f>
        <v>581993.76</v>
      </c>
      <c r="F50" s="278">
        <f>2644768*0.9</f>
        <v>2380291.2000000002</v>
      </c>
      <c r="G50" s="278">
        <f t="shared" ref="G50:G52" si="22">F50-D50</f>
        <v>-806176.41</v>
      </c>
      <c r="H50" s="280">
        <f t="shared" ref="H50:H52" si="23">F50/D50*100</f>
        <v>74.7</v>
      </c>
      <c r="I50" s="358" t="s">
        <v>901</v>
      </c>
    </row>
    <row r="51" spans="1:9" ht="31.2" hidden="1" x14ac:dyDescent="0.3">
      <c r="A51" s="79" t="s">
        <v>230</v>
      </c>
      <c r="B51" s="286">
        <v>244</v>
      </c>
      <c r="C51" s="286" t="s">
        <v>199</v>
      </c>
      <c r="D51" s="278">
        <f>'223'!N13+'223'!N14+'223'!N15</f>
        <v>604903.96</v>
      </c>
      <c r="E51" s="348">
        <f>'223'!Q13+'223'!Q14+'223'!Q15</f>
        <v>117199.5</v>
      </c>
      <c r="F51" s="278">
        <v>424395</v>
      </c>
      <c r="G51" s="278">
        <f t="shared" si="22"/>
        <v>-180508.96</v>
      </c>
      <c r="H51" s="280">
        <f t="shared" si="23"/>
        <v>70.16</v>
      </c>
      <c r="I51" s="358" t="s">
        <v>901</v>
      </c>
    </row>
    <row r="52" spans="1:9" hidden="1" x14ac:dyDescent="0.3">
      <c r="A52" s="79" t="s">
        <v>202</v>
      </c>
      <c r="B52" s="286">
        <v>244</v>
      </c>
      <c r="C52" s="286" t="s">
        <v>203</v>
      </c>
      <c r="D52" s="278">
        <f>'223'!N16</f>
        <v>179127.21</v>
      </c>
      <c r="E52" s="348">
        <f>'223'!Q16</f>
        <v>20000</v>
      </c>
      <c r="F52" s="471">
        <v>179127.21</v>
      </c>
      <c r="G52" s="278">
        <f t="shared" si="22"/>
        <v>0</v>
      </c>
      <c r="H52" s="280">
        <f t="shared" si="23"/>
        <v>100</v>
      </c>
      <c r="I52" s="358"/>
    </row>
    <row r="53" spans="1:9" ht="31.2" hidden="1" x14ac:dyDescent="0.3">
      <c r="A53" s="79" t="s">
        <v>219</v>
      </c>
      <c r="B53" s="286">
        <v>244</v>
      </c>
      <c r="C53" s="286" t="s">
        <v>220</v>
      </c>
      <c r="D53" s="278">
        <f>'223'!N17</f>
        <v>113317.67</v>
      </c>
      <c r="E53" s="348">
        <f>'223'!Q17</f>
        <v>117114.66</v>
      </c>
      <c r="F53" s="278">
        <v>96875</v>
      </c>
      <c r="G53" s="278">
        <f t="shared" si="20"/>
        <v>-16442.669999999998</v>
      </c>
      <c r="H53" s="280">
        <f t="shared" si="21"/>
        <v>85.49</v>
      </c>
      <c r="I53" s="358" t="s">
        <v>901</v>
      </c>
    </row>
    <row r="54" spans="1:9" s="276" customFormat="1" x14ac:dyDescent="0.3">
      <c r="A54" s="277" t="s">
        <v>757</v>
      </c>
      <c r="B54" s="264"/>
      <c r="C54" s="264"/>
      <c r="D54" s="279">
        <f>SUM(D49:D53)</f>
        <v>7871674.1900000004</v>
      </c>
      <c r="E54" s="349">
        <f>SUM(E49:E53)</f>
        <v>1857327.8</v>
      </c>
      <c r="F54" s="279">
        <f>SUM(F49:F53)</f>
        <v>6179153.4100000001</v>
      </c>
      <c r="G54" s="279">
        <f>F54-D54</f>
        <v>-1692520.78</v>
      </c>
      <c r="H54" s="281">
        <f>F54/D54*100</f>
        <v>78.5</v>
      </c>
      <c r="I54" s="489"/>
    </row>
    <row r="55" spans="1:9" x14ac:dyDescent="0.3">
      <c r="A55" s="592" t="s">
        <v>607</v>
      </c>
      <c r="B55" s="592"/>
      <c r="C55" s="592"/>
      <c r="D55" s="592"/>
      <c r="E55" s="592"/>
      <c r="F55" s="592"/>
      <c r="G55" s="592"/>
      <c r="H55" s="592"/>
      <c r="I55" s="592"/>
    </row>
    <row r="56" spans="1:9" ht="93.6" hidden="1" x14ac:dyDescent="0.3">
      <c r="A56" s="79" t="s">
        <v>202</v>
      </c>
      <c r="B56" s="286">
        <v>244</v>
      </c>
      <c r="C56" s="286" t="s">
        <v>203</v>
      </c>
      <c r="D56" s="278">
        <f>'225'!G36</f>
        <v>655106.68999999994</v>
      </c>
      <c r="E56" s="348">
        <f>'225'!H36</f>
        <v>128005.07</v>
      </c>
      <c r="F56" s="278">
        <v>50966.79</v>
      </c>
      <c r="G56" s="278">
        <f t="shared" ref="G56:G57" si="24">F56-D56</f>
        <v>-604139.9</v>
      </c>
      <c r="H56" s="280">
        <f t="shared" ref="H56:H57" si="25">F56/D56*100</f>
        <v>7.78</v>
      </c>
      <c r="I56" s="358" t="s">
        <v>917</v>
      </c>
    </row>
    <row r="57" spans="1:9" ht="62.4" hidden="1" x14ac:dyDescent="0.3">
      <c r="A57" s="79" t="s">
        <v>204</v>
      </c>
      <c r="B57" s="286">
        <v>244</v>
      </c>
      <c r="C57" s="286" t="s">
        <v>205</v>
      </c>
      <c r="D57" s="278">
        <f>'226'!G41</f>
        <v>340948</v>
      </c>
      <c r="E57" s="348">
        <f>'226'!H41</f>
        <v>30240</v>
      </c>
      <c r="F57" s="278"/>
      <c r="G57" s="278">
        <f t="shared" si="24"/>
        <v>-340948</v>
      </c>
      <c r="H57" s="280">
        <f t="shared" si="25"/>
        <v>0</v>
      </c>
      <c r="I57" s="358" t="s">
        <v>916</v>
      </c>
    </row>
    <row r="58" spans="1:9" s="276" customFormat="1" x14ac:dyDescent="0.3">
      <c r="A58" s="277" t="s">
        <v>759</v>
      </c>
      <c r="B58" s="264"/>
      <c r="C58" s="264"/>
      <c r="D58" s="279">
        <f>SUM(D56:D57)</f>
        <v>996054.69</v>
      </c>
      <c r="E58" s="349">
        <f>SUM(E56:E57)</f>
        <v>158245.07</v>
      </c>
      <c r="F58" s="279">
        <f>SUM(F56:F57)</f>
        <v>50966.79</v>
      </c>
      <c r="G58" s="279">
        <f>F58-D58</f>
        <v>-945087.9</v>
      </c>
      <c r="H58" s="281">
        <f>F58/D58*100</f>
        <v>5.12</v>
      </c>
      <c r="I58" s="489"/>
    </row>
    <row r="59" spans="1:9" x14ac:dyDescent="0.3">
      <c r="A59" s="592" t="s">
        <v>695</v>
      </c>
      <c r="B59" s="592"/>
      <c r="C59" s="592"/>
      <c r="D59" s="592"/>
      <c r="E59" s="592"/>
      <c r="F59" s="592"/>
      <c r="G59" s="592"/>
      <c r="H59" s="592"/>
      <c r="I59" s="592"/>
    </row>
    <row r="60" spans="1:9" ht="46.8" hidden="1" x14ac:dyDescent="0.3">
      <c r="A60" s="79" t="s">
        <v>202</v>
      </c>
      <c r="B60" s="286">
        <v>244</v>
      </c>
      <c r="C60" s="286" t="s">
        <v>203</v>
      </c>
      <c r="D60" s="278">
        <f>'225'!G38</f>
        <v>169472.84</v>
      </c>
      <c r="E60" s="348">
        <f>'225'!H38</f>
        <v>198027.16</v>
      </c>
      <c r="F60" s="278">
        <v>0</v>
      </c>
      <c r="G60" s="278">
        <f t="shared" ref="G60:G61" si="26">F60-D60</f>
        <v>-169472.84</v>
      </c>
      <c r="H60" s="280">
        <f t="shared" ref="H60:H61" si="27">F60/D60*100</f>
        <v>0</v>
      </c>
      <c r="I60" s="358" t="s">
        <v>932</v>
      </c>
    </row>
    <row r="61" spans="1:9" ht="31.2" hidden="1" x14ac:dyDescent="0.3">
      <c r="A61" s="79" t="s">
        <v>204</v>
      </c>
      <c r="B61" s="286">
        <v>244</v>
      </c>
      <c r="C61" s="286" t="s">
        <v>205</v>
      </c>
      <c r="D61" s="278">
        <f>'226'!G51</f>
        <v>465720</v>
      </c>
      <c r="E61" s="348">
        <f>'226'!H51</f>
        <v>0</v>
      </c>
      <c r="F61" s="278">
        <v>155627</v>
      </c>
      <c r="G61" s="278">
        <f t="shared" si="26"/>
        <v>-310093</v>
      </c>
      <c r="H61" s="280">
        <f t="shared" si="27"/>
        <v>33.42</v>
      </c>
      <c r="I61" s="358" t="s">
        <v>931</v>
      </c>
    </row>
    <row r="62" spans="1:9" s="276" customFormat="1" x14ac:dyDescent="0.3">
      <c r="A62" s="277" t="s">
        <v>760</v>
      </c>
      <c r="B62" s="264"/>
      <c r="C62" s="264"/>
      <c r="D62" s="279">
        <f>SUM(D60:D61)</f>
        <v>635192.84</v>
      </c>
      <c r="E62" s="349">
        <f>SUM(E60:E61)</f>
        <v>198027.16</v>
      </c>
      <c r="F62" s="279">
        <f>SUM(F60:F61)</f>
        <v>155627</v>
      </c>
      <c r="G62" s="279">
        <f>F62-D62</f>
        <v>-479565.84</v>
      </c>
      <c r="H62" s="281">
        <f>F62/D62*100</f>
        <v>24.5</v>
      </c>
      <c r="I62" s="489"/>
    </row>
    <row r="63" spans="1:9" x14ac:dyDescent="0.3">
      <c r="A63" s="592" t="s">
        <v>634</v>
      </c>
      <c r="B63" s="592"/>
      <c r="C63" s="592"/>
      <c r="D63" s="592"/>
      <c r="E63" s="592"/>
      <c r="F63" s="592"/>
      <c r="G63" s="592"/>
      <c r="H63" s="592"/>
      <c r="I63" s="592"/>
    </row>
    <row r="64" spans="1:9" hidden="1" x14ac:dyDescent="0.3">
      <c r="A64" s="79" t="s">
        <v>207</v>
      </c>
      <c r="B64" s="286">
        <v>113</v>
      </c>
      <c r="C64" s="286" t="s">
        <v>208</v>
      </c>
      <c r="D64" s="278">
        <f>'112'!G29</f>
        <v>0</v>
      </c>
      <c r="E64" s="348">
        <f>'112'!H29</f>
        <v>0</v>
      </c>
      <c r="F64" s="278"/>
      <c r="G64" s="278">
        <f t="shared" ref="G64:G73" si="28">F64-D64</f>
        <v>0</v>
      </c>
      <c r="H64" s="280" t="e">
        <f t="shared" ref="H64:H73" si="29">F64/D64*100</f>
        <v>#DIV/0!</v>
      </c>
      <c r="I64" s="358"/>
    </row>
    <row r="65" spans="1:9" hidden="1" x14ac:dyDescent="0.3">
      <c r="A65" s="79" t="s">
        <v>200</v>
      </c>
      <c r="B65" s="286">
        <v>244</v>
      </c>
      <c r="C65" s="286" t="s">
        <v>201</v>
      </c>
      <c r="D65" s="278">
        <f>'221, 222, 224'!G51</f>
        <v>0</v>
      </c>
      <c r="E65" s="348">
        <f>'221, 222, 224'!H51</f>
        <v>0</v>
      </c>
      <c r="F65" s="278"/>
      <c r="G65" s="278">
        <f t="shared" si="28"/>
        <v>0</v>
      </c>
      <c r="H65" s="280" t="e">
        <f t="shared" si="29"/>
        <v>#DIV/0!</v>
      </c>
      <c r="I65" s="358"/>
    </row>
    <row r="66" spans="1:9" ht="78" hidden="1" x14ac:dyDescent="0.3">
      <c r="A66" s="79" t="s">
        <v>202</v>
      </c>
      <c r="B66" s="286">
        <v>244</v>
      </c>
      <c r="C66" s="286" t="s">
        <v>203</v>
      </c>
      <c r="D66" s="278">
        <f>'225'!G42</f>
        <v>102150</v>
      </c>
      <c r="E66" s="348">
        <f>'225'!H42</f>
        <v>35100</v>
      </c>
      <c r="F66" s="278">
        <v>23092.48</v>
      </c>
      <c r="G66" s="278">
        <f t="shared" si="28"/>
        <v>-79057.52</v>
      </c>
      <c r="H66" s="280">
        <f t="shared" si="29"/>
        <v>22.61</v>
      </c>
      <c r="I66" s="358" t="s">
        <v>918</v>
      </c>
    </row>
    <row r="67" spans="1:9" ht="109.2" hidden="1" x14ac:dyDescent="0.3">
      <c r="A67" s="79" t="s">
        <v>204</v>
      </c>
      <c r="B67" s="286">
        <v>244</v>
      </c>
      <c r="C67" s="286" t="s">
        <v>205</v>
      </c>
      <c r="D67" s="278">
        <f>'226'!G78</f>
        <v>1110640</v>
      </c>
      <c r="E67" s="348">
        <f>'226'!H78</f>
        <v>369760</v>
      </c>
      <c r="F67" s="278">
        <v>496500</v>
      </c>
      <c r="G67" s="278">
        <f t="shared" si="28"/>
        <v>-614140</v>
      </c>
      <c r="H67" s="280">
        <f t="shared" si="29"/>
        <v>44.7</v>
      </c>
      <c r="I67" s="358" t="s">
        <v>919</v>
      </c>
    </row>
    <row r="68" spans="1:9" hidden="1" x14ac:dyDescent="0.3">
      <c r="A68" s="79" t="s">
        <v>207</v>
      </c>
      <c r="B68" s="286">
        <v>244</v>
      </c>
      <c r="C68" s="286" t="s">
        <v>208</v>
      </c>
      <c r="D68" s="278">
        <f>'310, 340'!G66</f>
        <v>0</v>
      </c>
      <c r="E68" s="348">
        <f>'310, 340'!H66</f>
        <v>0</v>
      </c>
      <c r="F68" s="278"/>
      <c r="G68" s="278">
        <f t="shared" ref="G68:G69" si="30">F68-D68</f>
        <v>0</v>
      </c>
      <c r="H68" s="280" t="e">
        <f t="shared" ref="H68:H69" si="31">F68/D68*100</f>
        <v>#DIV/0!</v>
      </c>
      <c r="I68" s="358"/>
    </row>
    <row r="69" spans="1:9" hidden="1" x14ac:dyDescent="0.3">
      <c r="A69" s="79" t="s">
        <v>207</v>
      </c>
      <c r="B69" s="286">
        <v>831</v>
      </c>
      <c r="C69" s="286" t="s">
        <v>208</v>
      </c>
      <c r="D69" s="278">
        <f>'851, 852, 853'!F10</f>
        <v>0</v>
      </c>
      <c r="E69" s="348">
        <f>'851, 852, 853'!G10</f>
        <v>52623.42</v>
      </c>
      <c r="F69" s="278"/>
      <c r="G69" s="278">
        <f t="shared" si="30"/>
        <v>0</v>
      </c>
      <c r="H69" s="280" t="e">
        <f t="shared" si="31"/>
        <v>#DIV/0!</v>
      </c>
      <c r="I69" s="358"/>
    </row>
    <row r="70" spans="1:9" ht="31.2" hidden="1" x14ac:dyDescent="0.3">
      <c r="A70" s="79" t="s">
        <v>207</v>
      </c>
      <c r="B70" s="286">
        <v>852</v>
      </c>
      <c r="C70" s="286" t="s">
        <v>208</v>
      </c>
      <c r="D70" s="278">
        <f>'851, 852, 853'!F36+'851, 852, 853'!F37</f>
        <v>17800</v>
      </c>
      <c r="E70" s="348">
        <f>'851, 852, 853'!G36+'851, 852, 853'!G37</f>
        <v>0</v>
      </c>
      <c r="F70" s="278"/>
      <c r="G70" s="278">
        <f t="shared" si="28"/>
        <v>-17800</v>
      </c>
      <c r="H70" s="280">
        <f t="shared" si="29"/>
        <v>0</v>
      </c>
      <c r="I70" s="358" t="s">
        <v>920</v>
      </c>
    </row>
    <row r="71" spans="1:9" ht="31.2" hidden="1" x14ac:dyDescent="0.3">
      <c r="A71" s="79" t="s">
        <v>207</v>
      </c>
      <c r="B71" s="286">
        <v>853</v>
      </c>
      <c r="C71" s="286" t="s">
        <v>208</v>
      </c>
      <c r="D71" s="278">
        <f>'851, 852, 853'!F48+'851, 852, 853'!F49+'851, 852, 853'!F50</f>
        <v>10000</v>
      </c>
      <c r="E71" s="348">
        <f>'851, 852, 853'!G48+'851, 852, 853'!G49+'851, 852, 853'!G50</f>
        <v>50000</v>
      </c>
      <c r="F71" s="278"/>
      <c r="G71" s="278">
        <f t="shared" si="28"/>
        <v>-10000</v>
      </c>
      <c r="H71" s="280">
        <f t="shared" si="29"/>
        <v>0</v>
      </c>
      <c r="I71" s="358" t="s">
        <v>921</v>
      </c>
    </row>
    <row r="72" spans="1:9" ht="46.8" hidden="1" x14ac:dyDescent="0.3">
      <c r="A72" s="79" t="s">
        <v>215</v>
      </c>
      <c r="B72" s="286">
        <v>244</v>
      </c>
      <c r="C72" s="286" t="s">
        <v>216</v>
      </c>
      <c r="D72" s="278">
        <f>'310, 340'!G51</f>
        <v>100000</v>
      </c>
      <c r="E72" s="348">
        <f>'310, 340'!H51</f>
        <v>80000</v>
      </c>
      <c r="F72" s="278"/>
      <c r="G72" s="278">
        <f>F72-D72</f>
        <v>-100000</v>
      </c>
      <c r="H72" s="280">
        <f>F72/D72*100</f>
        <v>0</v>
      </c>
      <c r="I72" s="358" t="s">
        <v>922</v>
      </c>
    </row>
    <row r="73" spans="1:9" ht="93.6" hidden="1" x14ac:dyDescent="0.3">
      <c r="A73" s="79" t="s">
        <v>217</v>
      </c>
      <c r="B73" s="286">
        <v>244</v>
      </c>
      <c r="C73" s="286" t="s">
        <v>218</v>
      </c>
      <c r="D73" s="278">
        <f>'310, 340'!G52</f>
        <v>484182.17</v>
      </c>
      <c r="E73" s="348">
        <f>'310, 340'!H52</f>
        <v>354144.17</v>
      </c>
      <c r="F73" s="278"/>
      <c r="G73" s="278">
        <f t="shared" si="28"/>
        <v>-484182.17</v>
      </c>
      <c r="H73" s="280">
        <f t="shared" si="29"/>
        <v>0</v>
      </c>
      <c r="I73" s="358" t="s">
        <v>923</v>
      </c>
    </row>
    <row r="74" spans="1:9" s="276" customFormat="1" x14ac:dyDescent="0.3">
      <c r="A74" s="277" t="s">
        <v>763</v>
      </c>
      <c r="B74" s="264"/>
      <c r="C74" s="264"/>
      <c r="D74" s="279">
        <f>SUM(D64:D73)</f>
        <v>1824772.17</v>
      </c>
      <c r="E74" s="349">
        <f>SUM(E64:E73)</f>
        <v>941627.59</v>
      </c>
      <c r="F74" s="279">
        <f>SUM(F64:F73)</f>
        <v>519592.48</v>
      </c>
      <c r="G74" s="279">
        <f>F74-D74</f>
        <v>-1305179.69</v>
      </c>
      <c r="H74" s="281">
        <f>F74/D74*100</f>
        <v>28.47</v>
      </c>
      <c r="I74" s="489"/>
    </row>
    <row r="75" spans="1:9" s="285" customFormat="1" ht="34.799999999999997" x14ac:dyDescent="0.3">
      <c r="A75" s="282" t="s">
        <v>766</v>
      </c>
      <c r="B75" s="287"/>
      <c r="C75" s="287"/>
      <c r="D75" s="283">
        <f>D37+D41+D44+D47+D54+D58+D62+D74</f>
        <v>29114875.77</v>
      </c>
      <c r="E75" s="350">
        <f>E37+E41+E44+E47+E54+E58+E62+E74</f>
        <v>6146836.96</v>
      </c>
      <c r="F75" s="283">
        <f>F37+F41+F44+F47+F54+F58+F62+F74</f>
        <v>15811445.119999999</v>
      </c>
      <c r="G75" s="283">
        <f t="shared" ref="G75" si="32">F75-D75</f>
        <v>-13303430.65</v>
      </c>
      <c r="H75" s="284">
        <f t="shared" ref="H75" si="33">F75/D75*100</f>
        <v>54.31</v>
      </c>
      <c r="I75" s="472"/>
    </row>
    <row r="76" spans="1:9" x14ac:dyDescent="0.3">
      <c r="A76" s="592" t="s">
        <v>748</v>
      </c>
      <c r="B76" s="592"/>
      <c r="C76" s="592"/>
      <c r="D76" s="592"/>
      <c r="E76" s="592"/>
      <c r="F76" s="592"/>
      <c r="G76" s="592"/>
      <c r="H76" s="592"/>
      <c r="I76" s="592"/>
    </row>
    <row r="77" spans="1:9" hidden="1" x14ac:dyDescent="0.3">
      <c r="A77" s="79" t="s">
        <v>207</v>
      </c>
      <c r="B77" s="286">
        <v>851</v>
      </c>
      <c r="C77" s="286" t="s">
        <v>208</v>
      </c>
      <c r="D77" s="278">
        <f>'851, 852, 853'!F23</f>
        <v>1503317.55</v>
      </c>
      <c r="E77" s="348">
        <f>'851, 852, 853'!G23</f>
        <v>110361</v>
      </c>
      <c r="F77" s="278">
        <v>1523228</v>
      </c>
      <c r="G77" s="278">
        <f t="shared" ref="G77:G79" si="34">F77-D77</f>
        <v>19910.45</v>
      </c>
      <c r="H77" s="280">
        <f t="shared" ref="H77:H79" si="35">F77/D77*100</f>
        <v>101.32</v>
      </c>
      <c r="I77" s="358"/>
    </row>
    <row r="78" spans="1:9" hidden="1" x14ac:dyDescent="0.3">
      <c r="A78" s="79" t="s">
        <v>207</v>
      </c>
      <c r="B78" s="286">
        <v>852</v>
      </c>
      <c r="C78" s="286" t="s">
        <v>208</v>
      </c>
      <c r="D78" s="278">
        <f>'851, 852, 853'!F31</f>
        <v>169120</v>
      </c>
      <c r="E78" s="348">
        <f>'851, 852, 853'!G31</f>
        <v>30000</v>
      </c>
      <c r="F78" s="278">
        <v>169120</v>
      </c>
      <c r="G78" s="278">
        <f t="shared" si="34"/>
        <v>0</v>
      </c>
      <c r="H78" s="280">
        <f t="shared" si="35"/>
        <v>100</v>
      </c>
      <c r="I78" s="358"/>
    </row>
    <row r="79" spans="1:9" hidden="1" x14ac:dyDescent="0.3">
      <c r="A79" s="79" t="s">
        <v>207</v>
      </c>
      <c r="B79" s="286">
        <v>853</v>
      </c>
      <c r="C79" s="286" t="s">
        <v>208</v>
      </c>
      <c r="D79" s="278">
        <f>'851, 852, 853'!F46</f>
        <v>0</v>
      </c>
      <c r="E79" s="348">
        <f>'851, 852, 853'!G46</f>
        <v>0</v>
      </c>
      <c r="F79" s="278"/>
      <c r="G79" s="278">
        <f t="shared" si="34"/>
        <v>0</v>
      </c>
      <c r="H79" s="280" t="e">
        <f t="shared" si="35"/>
        <v>#DIV/0!</v>
      </c>
      <c r="I79" s="358"/>
    </row>
    <row r="80" spans="1:9" s="276" customFormat="1" x14ac:dyDescent="0.3">
      <c r="A80" s="277" t="s">
        <v>764</v>
      </c>
      <c r="B80" s="264"/>
      <c r="C80" s="264"/>
      <c r="D80" s="279">
        <f>SUM(D77:D79)</f>
        <v>1672437.55</v>
      </c>
      <c r="E80" s="349">
        <f>SUM(E77:E79)</f>
        <v>140361</v>
      </c>
      <c r="F80" s="279">
        <f>SUM(F77:F79)</f>
        <v>1692348</v>
      </c>
      <c r="G80" s="279">
        <f>F80-D80</f>
        <v>19910.45</v>
      </c>
      <c r="H80" s="281">
        <f>F80/D80*100</f>
        <v>101.19</v>
      </c>
      <c r="I80" s="489"/>
    </row>
    <row r="81" spans="1:9" x14ac:dyDescent="0.3">
      <c r="A81" s="592" t="s">
        <v>694</v>
      </c>
      <c r="B81" s="592"/>
      <c r="C81" s="592"/>
      <c r="D81" s="592"/>
      <c r="E81" s="592"/>
      <c r="F81" s="592"/>
      <c r="G81" s="592"/>
      <c r="H81" s="592"/>
      <c r="I81" s="592"/>
    </row>
    <row r="82" spans="1:9" ht="31.2" hidden="1" x14ac:dyDescent="0.3">
      <c r="A82" s="79" t="s">
        <v>195</v>
      </c>
      <c r="B82" s="286">
        <v>244</v>
      </c>
      <c r="C82" s="286" t="s">
        <v>196</v>
      </c>
      <c r="D82" s="278">
        <f>'223'!P9+'223'!P10+'223'!P11</f>
        <v>3787857.73</v>
      </c>
      <c r="E82" s="348">
        <v>0</v>
      </c>
      <c r="F82" s="278">
        <f>6196930-F49</f>
        <v>3098465</v>
      </c>
      <c r="G82" s="278">
        <f t="shared" ref="G82:G84" si="36">F82-D82</f>
        <v>-689392.73</v>
      </c>
      <c r="H82" s="280">
        <f t="shared" ref="H82:H84" si="37">F82/D82*100</f>
        <v>81.8</v>
      </c>
      <c r="I82" s="358" t="s">
        <v>901</v>
      </c>
    </row>
    <row r="83" spans="1:9" ht="31.2" hidden="1" x14ac:dyDescent="0.3">
      <c r="A83" s="79" t="s">
        <v>197</v>
      </c>
      <c r="B83" s="286">
        <v>244</v>
      </c>
      <c r="C83" s="286" t="s">
        <v>198</v>
      </c>
      <c r="D83" s="278">
        <f>'223'!P12</f>
        <v>318646.76</v>
      </c>
      <c r="E83" s="348">
        <v>0</v>
      </c>
      <c r="F83" s="278">
        <f>2644768-F50</f>
        <v>264476.79999999999</v>
      </c>
      <c r="G83" s="278">
        <f t="shared" si="36"/>
        <v>-54169.96</v>
      </c>
      <c r="H83" s="280">
        <f t="shared" si="37"/>
        <v>83</v>
      </c>
      <c r="I83" s="358" t="s">
        <v>901</v>
      </c>
    </row>
    <row r="84" spans="1:9" ht="31.2" hidden="1" x14ac:dyDescent="0.3">
      <c r="A84" s="79" t="s">
        <v>219</v>
      </c>
      <c r="B84" s="286">
        <v>244</v>
      </c>
      <c r="C84" s="286" t="s">
        <v>220</v>
      </c>
      <c r="D84" s="278">
        <f>'223'!P17</f>
        <v>113317.67</v>
      </c>
      <c r="E84" s="348">
        <v>0</v>
      </c>
      <c r="F84" s="278">
        <v>84433</v>
      </c>
      <c r="G84" s="278">
        <f t="shared" si="36"/>
        <v>-28884.67</v>
      </c>
      <c r="H84" s="280">
        <f t="shared" si="37"/>
        <v>74.510000000000005</v>
      </c>
      <c r="I84" s="358" t="s">
        <v>901</v>
      </c>
    </row>
    <row r="85" spans="1:9" s="276" customFormat="1" x14ac:dyDescent="0.3">
      <c r="A85" s="277" t="s">
        <v>765</v>
      </c>
      <c r="B85" s="264"/>
      <c r="C85" s="264"/>
      <c r="D85" s="279">
        <f>SUM(D82:D84)</f>
        <v>4219822.16</v>
      </c>
      <c r="E85" s="349">
        <f>SUM(E82:E84)</f>
        <v>0</v>
      </c>
      <c r="F85" s="279">
        <f>SUM(F82:F84)</f>
        <v>3447374.8</v>
      </c>
      <c r="G85" s="279">
        <f>F85-D85</f>
        <v>-772447.36</v>
      </c>
      <c r="H85" s="281">
        <f>F85/D85*100</f>
        <v>81.69</v>
      </c>
      <c r="I85" s="489"/>
    </row>
    <row r="86" spans="1:9" s="285" customFormat="1" ht="34.799999999999997" x14ac:dyDescent="0.3">
      <c r="A86" s="282" t="s">
        <v>767</v>
      </c>
      <c r="B86" s="287"/>
      <c r="C86" s="287"/>
      <c r="D86" s="283">
        <f>D80+D85</f>
        <v>5892259.71</v>
      </c>
      <c r="E86" s="350">
        <f>E80+E85</f>
        <v>140361</v>
      </c>
      <c r="F86" s="283">
        <f>F80+F85</f>
        <v>5139722.8</v>
      </c>
      <c r="G86" s="283">
        <f t="shared" ref="G86" si="38">F86-D86</f>
        <v>-752536.91</v>
      </c>
      <c r="H86" s="284">
        <f t="shared" ref="H86" si="39">F86/D86*100</f>
        <v>87.23</v>
      </c>
      <c r="I86" s="472"/>
    </row>
    <row r="87" spans="1:9" s="285" customFormat="1" ht="17.399999999999999" x14ac:dyDescent="0.3">
      <c r="A87" s="288" t="s">
        <v>564</v>
      </c>
      <c r="B87" s="287"/>
      <c r="C87" s="287"/>
      <c r="D87" s="283">
        <f>D32+D75+D86</f>
        <v>64253696.18</v>
      </c>
      <c r="E87" s="350">
        <f>E32+E75+E86</f>
        <v>11220110.42</v>
      </c>
      <c r="F87" s="283">
        <f>F32+F75+F86</f>
        <v>34369443.479999997</v>
      </c>
      <c r="G87" s="283">
        <f t="shared" ref="G87" si="40">F87-D87</f>
        <v>-29884252.699999999</v>
      </c>
      <c r="H87" s="284">
        <f t="shared" ref="H87" si="41">F87/D87*100</f>
        <v>53.49</v>
      </c>
      <c r="I87" s="472"/>
    </row>
    <row r="88" spans="1:9" x14ac:dyDescent="0.3">
      <c r="A88" s="79" t="s">
        <v>185</v>
      </c>
      <c r="B88" s="286">
        <v>111</v>
      </c>
      <c r="C88" s="286" t="s">
        <v>186</v>
      </c>
      <c r="D88" s="278">
        <f>D13+D35</f>
        <v>28180069</v>
      </c>
      <c r="E88" s="348">
        <f>E13+E35</f>
        <v>4761231</v>
      </c>
      <c r="F88" s="278">
        <f>F13+F35</f>
        <v>14090034.5</v>
      </c>
      <c r="G88" s="278">
        <f t="shared" ref="G88:G110" si="42">F88-D88</f>
        <v>-14090034.5</v>
      </c>
      <c r="H88" s="280">
        <f t="shared" ref="H88:H110" si="43">F88/D88*100</f>
        <v>50</v>
      </c>
      <c r="I88" s="358"/>
    </row>
    <row r="89" spans="1:9" hidden="1" x14ac:dyDescent="0.3">
      <c r="A89" s="79" t="s">
        <v>187</v>
      </c>
      <c r="B89" s="286">
        <v>112</v>
      </c>
      <c r="C89" s="286" t="s">
        <v>188</v>
      </c>
      <c r="D89" s="278">
        <f>D17+D39</f>
        <v>33200</v>
      </c>
      <c r="E89" s="348">
        <f>E17+E39</f>
        <v>25000</v>
      </c>
      <c r="F89" s="278">
        <f>F17+F39</f>
        <v>13881</v>
      </c>
      <c r="G89" s="278">
        <f t="shared" si="42"/>
        <v>-19319</v>
      </c>
      <c r="H89" s="280">
        <f t="shared" si="43"/>
        <v>41.81</v>
      </c>
      <c r="I89" s="358"/>
    </row>
    <row r="90" spans="1:9" hidden="1" x14ac:dyDescent="0.3">
      <c r="A90" s="79" t="s">
        <v>207</v>
      </c>
      <c r="B90" s="286">
        <v>113</v>
      </c>
      <c r="C90" s="286" t="s">
        <v>208</v>
      </c>
      <c r="D90" s="278">
        <f>D64</f>
        <v>0</v>
      </c>
      <c r="E90" s="348">
        <f>E64</f>
        <v>0</v>
      </c>
      <c r="F90" s="278">
        <f>F64</f>
        <v>0</v>
      </c>
      <c r="G90" s="278">
        <f t="shared" si="42"/>
        <v>0</v>
      </c>
      <c r="H90" s="280" t="e">
        <f t="shared" si="43"/>
        <v>#DIV/0!</v>
      </c>
      <c r="I90" s="358"/>
    </row>
    <row r="91" spans="1:9" x14ac:dyDescent="0.3">
      <c r="A91" s="79" t="s">
        <v>189</v>
      </c>
      <c r="B91" s="286">
        <v>119</v>
      </c>
      <c r="C91" s="286" t="s">
        <v>190</v>
      </c>
      <c r="D91" s="278">
        <f>D14+D36</f>
        <v>8510381</v>
      </c>
      <c r="E91" s="348">
        <f>E14+E36</f>
        <v>1437890.8</v>
      </c>
      <c r="F91" s="278">
        <f>F14+F36</f>
        <v>4255190.5</v>
      </c>
      <c r="G91" s="278">
        <f t="shared" si="42"/>
        <v>-4255190.5</v>
      </c>
      <c r="H91" s="280">
        <f t="shared" si="43"/>
        <v>50</v>
      </c>
      <c r="I91" s="358"/>
    </row>
    <row r="92" spans="1:9" hidden="1" x14ac:dyDescent="0.3">
      <c r="A92" s="79" t="s">
        <v>191</v>
      </c>
      <c r="B92" s="286">
        <v>244</v>
      </c>
      <c r="C92" s="286" t="s">
        <v>192</v>
      </c>
      <c r="D92" s="278">
        <f>D18+D43</f>
        <v>85400</v>
      </c>
      <c r="E92" s="348">
        <f>E18+E43</f>
        <v>115000</v>
      </c>
      <c r="F92" s="278">
        <f>F18+F43</f>
        <v>55000</v>
      </c>
      <c r="G92" s="278">
        <f t="shared" si="42"/>
        <v>-30400</v>
      </c>
      <c r="H92" s="280">
        <f t="shared" si="43"/>
        <v>64.400000000000006</v>
      </c>
      <c r="I92" s="358"/>
    </row>
    <row r="93" spans="1:9" hidden="1" x14ac:dyDescent="0.3">
      <c r="A93" s="79" t="s">
        <v>193</v>
      </c>
      <c r="B93" s="286">
        <v>244</v>
      </c>
      <c r="C93" s="286" t="s">
        <v>194</v>
      </c>
      <c r="D93" s="278">
        <f>D46</f>
        <v>5229</v>
      </c>
      <c r="E93" s="348">
        <f>E46</f>
        <v>0</v>
      </c>
      <c r="F93" s="278">
        <f>F46</f>
        <v>5229</v>
      </c>
      <c r="G93" s="278">
        <f t="shared" si="42"/>
        <v>0</v>
      </c>
      <c r="H93" s="280">
        <f t="shared" si="43"/>
        <v>100</v>
      </c>
      <c r="I93" s="358"/>
    </row>
    <row r="94" spans="1:9" hidden="1" x14ac:dyDescent="0.3">
      <c r="A94" s="79" t="s">
        <v>195</v>
      </c>
      <c r="B94" s="286">
        <v>244</v>
      </c>
      <c r="C94" s="286" t="s">
        <v>196</v>
      </c>
      <c r="D94" s="278">
        <f t="shared" ref="D94:F95" si="44">D49+D82</f>
        <v>7575715.4699999997</v>
      </c>
      <c r="E94" s="348">
        <f t="shared" si="44"/>
        <v>1021019.88</v>
      </c>
      <c r="F94" s="278">
        <f t="shared" si="44"/>
        <v>6196930</v>
      </c>
      <c r="G94" s="278">
        <f t="shared" si="42"/>
        <v>-1378785.47</v>
      </c>
      <c r="H94" s="280">
        <f t="shared" si="43"/>
        <v>81.8</v>
      </c>
      <c r="I94" s="358"/>
    </row>
    <row r="95" spans="1:9" hidden="1" x14ac:dyDescent="0.3">
      <c r="A95" s="79" t="s">
        <v>197</v>
      </c>
      <c r="B95" s="286">
        <v>244</v>
      </c>
      <c r="C95" s="286" t="s">
        <v>198</v>
      </c>
      <c r="D95" s="278">
        <f t="shared" si="44"/>
        <v>3505114.37</v>
      </c>
      <c r="E95" s="348">
        <f t="shared" si="44"/>
        <v>581993.76</v>
      </c>
      <c r="F95" s="278">
        <f t="shared" si="44"/>
        <v>2644768</v>
      </c>
      <c r="G95" s="278">
        <f t="shared" si="42"/>
        <v>-860346.37</v>
      </c>
      <c r="H95" s="280">
        <f t="shared" si="43"/>
        <v>75.45</v>
      </c>
      <c r="I95" s="358"/>
    </row>
    <row r="96" spans="1:9" hidden="1" x14ac:dyDescent="0.3">
      <c r="A96" s="79" t="s">
        <v>230</v>
      </c>
      <c r="B96" s="286">
        <v>244</v>
      </c>
      <c r="C96" s="286" t="s">
        <v>199</v>
      </c>
      <c r="D96" s="278">
        <f>D51</f>
        <v>604903.96</v>
      </c>
      <c r="E96" s="348">
        <f>E51</f>
        <v>117199.5</v>
      </c>
      <c r="F96" s="278">
        <f>F51</f>
        <v>424395</v>
      </c>
      <c r="G96" s="278">
        <f t="shared" si="42"/>
        <v>-180508.96</v>
      </c>
      <c r="H96" s="280">
        <f t="shared" si="43"/>
        <v>70.16</v>
      </c>
      <c r="I96" s="358"/>
    </row>
    <row r="97" spans="1:10" hidden="1" x14ac:dyDescent="0.3">
      <c r="A97" s="79" t="s">
        <v>200</v>
      </c>
      <c r="B97" s="286">
        <v>244</v>
      </c>
      <c r="C97" s="286" t="s">
        <v>201</v>
      </c>
      <c r="D97" s="278">
        <f>D26+D65</f>
        <v>0</v>
      </c>
      <c r="E97" s="348">
        <f>E26+E65</f>
        <v>0</v>
      </c>
      <c r="F97" s="278">
        <f>F26+F65</f>
        <v>0</v>
      </c>
      <c r="G97" s="278">
        <f t="shared" si="42"/>
        <v>0</v>
      </c>
      <c r="H97" s="280" t="e">
        <f t="shared" si="43"/>
        <v>#DIV/0!</v>
      </c>
      <c r="I97" s="358"/>
    </row>
    <row r="98" spans="1:10" hidden="1" x14ac:dyDescent="0.3">
      <c r="A98" s="79" t="s">
        <v>202</v>
      </c>
      <c r="B98" s="286">
        <v>244</v>
      </c>
      <c r="C98" s="286" t="s">
        <v>203</v>
      </c>
      <c r="D98" s="278">
        <f>D52+D56+D60+D66</f>
        <v>1105856.74</v>
      </c>
      <c r="E98" s="348">
        <f>E52+E56+E60+E66</f>
        <v>381132.23</v>
      </c>
      <c r="F98" s="278">
        <f>F52+F56+F60+F66</f>
        <v>253186.48</v>
      </c>
      <c r="G98" s="278">
        <f t="shared" si="42"/>
        <v>-852670.26</v>
      </c>
      <c r="H98" s="280">
        <f t="shared" si="43"/>
        <v>22.9</v>
      </c>
      <c r="I98" s="358"/>
    </row>
    <row r="99" spans="1:10" hidden="1" x14ac:dyDescent="0.3">
      <c r="A99" s="79" t="s">
        <v>204</v>
      </c>
      <c r="B99" s="286">
        <v>244</v>
      </c>
      <c r="C99" s="286" t="s">
        <v>205</v>
      </c>
      <c r="D99" s="278">
        <f>D19+D57+D61+D67</f>
        <v>2063808</v>
      </c>
      <c r="E99" s="348">
        <f>E19+E57+E61+E67</f>
        <v>400000</v>
      </c>
      <c r="F99" s="278">
        <f>F19+F57+F61+F67</f>
        <v>652127</v>
      </c>
      <c r="G99" s="278">
        <f t="shared" si="42"/>
        <v>-1411681</v>
      </c>
      <c r="H99" s="280">
        <f t="shared" si="43"/>
        <v>31.6</v>
      </c>
      <c r="I99" s="358"/>
    </row>
    <row r="100" spans="1:10" ht="31.2" hidden="1" x14ac:dyDescent="0.3">
      <c r="A100" s="79" t="s">
        <v>231</v>
      </c>
      <c r="B100" s="286">
        <v>321</v>
      </c>
      <c r="C100" s="286" t="s">
        <v>206</v>
      </c>
      <c r="D100" s="278">
        <f>D40</f>
        <v>0</v>
      </c>
      <c r="E100" s="348">
        <f>E40</f>
        <v>0</v>
      </c>
      <c r="F100" s="278">
        <f>F40</f>
        <v>0</v>
      </c>
      <c r="G100" s="278">
        <f t="shared" si="42"/>
        <v>0</v>
      </c>
      <c r="H100" s="280" t="e">
        <f t="shared" si="43"/>
        <v>#DIV/0!</v>
      </c>
      <c r="I100" s="358"/>
    </row>
    <row r="101" spans="1:10" hidden="1" x14ac:dyDescent="0.3">
      <c r="A101" s="79" t="s">
        <v>207</v>
      </c>
      <c r="B101" s="286">
        <v>831</v>
      </c>
      <c r="C101" s="286" t="s">
        <v>208</v>
      </c>
      <c r="D101" s="278">
        <f>D69</f>
        <v>0</v>
      </c>
      <c r="E101" s="348">
        <f>E69</f>
        <v>52623.42</v>
      </c>
      <c r="F101" s="278">
        <f>F69</f>
        <v>0</v>
      </c>
      <c r="G101" s="278">
        <f t="shared" ref="G101" si="45">F101-D101</f>
        <v>0</v>
      </c>
      <c r="H101" s="280" t="e">
        <f t="shared" ref="H101" si="46">F101/D101*100</f>
        <v>#DIV/0!</v>
      </c>
      <c r="I101" s="358"/>
    </row>
    <row r="102" spans="1:10" hidden="1" x14ac:dyDescent="0.3">
      <c r="A102" s="79" t="s">
        <v>207</v>
      </c>
      <c r="B102" s="286">
        <v>851</v>
      </c>
      <c r="C102" s="286" t="s">
        <v>208</v>
      </c>
      <c r="D102" s="278">
        <f>D77</f>
        <v>1503317.55</v>
      </c>
      <c r="E102" s="348">
        <f>E77</f>
        <v>110361</v>
      </c>
      <c r="F102" s="278">
        <f>F77</f>
        <v>1523228</v>
      </c>
      <c r="G102" s="278">
        <f t="shared" si="42"/>
        <v>19910.45</v>
      </c>
      <c r="H102" s="280">
        <f t="shared" si="43"/>
        <v>101.32</v>
      </c>
      <c r="I102" s="358"/>
    </row>
    <row r="103" spans="1:10" hidden="1" x14ac:dyDescent="0.3">
      <c r="A103" s="79" t="s">
        <v>207</v>
      </c>
      <c r="B103" s="286">
        <v>852</v>
      </c>
      <c r="C103" s="286" t="s">
        <v>208</v>
      </c>
      <c r="D103" s="278">
        <f>D20+D70+D78</f>
        <v>431920</v>
      </c>
      <c r="E103" s="348">
        <f>E20+E70+E78</f>
        <v>30000</v>
      </c>
      <c r="F103" s="278">
        <f>F20+F70+F78</f>
        <v>414120</v>
      </c>
      <c r="G103" s="278">
        <f t="shared" si="42"/>
        <v>-17800</v>
      </c>
      <c r="H103" s="280">
        <f t="shared" si="43"/>
        <v>95.88</v>
      </c>
      <c r="I103" s="358"/>
    </row>
    <row r="104" spans="1:10" hidden="1" x14ac:dyDescent="0.3">
      <c r="A104" s="79" t="s">
        <v>207</v>
      </c>
      <c r="B104" s="286">
        <v>853</v>
      </c>
      <c r="C104" s="286" t="s">
        <v>208</v>
      </c>
      <c r="D104" s="278">
        <f>D71+D79</f>
        <v>10000</v>
      </c>
      <c r="E104" s="348">
        <f>E71+E79</f>
        <v>50000</v>
      </c>
      <c r="F104" s="278">
        <f>F71+F79</f>
        <v>0</v>
      </c>
      <c r="G104" s="278">
        <f t="shared" si="42"/>
        <v>-10000</v>
      </c>
      <c r="H104" s="280">
        <f t="shared" si="43"/>
        <v>0</v>
      </c>
      <c r="I104" s="358"/>
    </row>
    <row r="105" spans="1:10" hidden="1" x14ac:dyDescent="0.3">
      <c r="A105" s="79" t="s">
        <v>209</v>
      </c>
      <c r="B105" s="286">
        <v>244</v>
      </c>
      <c r="C105" s="286" t="s">
        <v>210</v>
      </c>
      <c r="D105" s="278">
        <f>D21+D27</f>
        <v>752000</v>
      </c>
      <c r="E105" s="348">
        <f>E21+E27</f>
        <v>200000</v>
      </c>
      <c r="F105" s="278">
        <f>F21+F27</f>
        <v>100000</v>
      </c>
      <c r="G105" s="278">
        <f t="shared" si="42"/>
        <v>-652000</v>
      </c>
      <c r="H105" s="280">
        <f t="shared" si="43"/>
        <v>13.3</v>
      </c>
      <c r="I105" s="358"/>
    </row>
    <row r="106" spans="1:10" ht="31.2" hidden="1" x14ac:dyDescent="0.3">
      <c r="A106" s="79" t="s">
        <v>211</v>
      </c>
      <c r="B106" s="286">
        <v>244</v>
      </c>
      <c r="C106" s="286" t="s">
        <v>212</v>
      </c>
      <c r="D106" s="278">
        <f t="shared" ref="D106:F107" si="47">D28</f>
        <v>73000</v>
      </c>
      <c r="E106" s="348">
        <f t="shared" si="47"/>
        <v>0</v>
      </c>
      <c r="F106" s="278">
        <f t="shared" si="47"/>
        <v>10833</v>
      </c>
      <c r="G106" s="278">
        <f t="shared" si="42"/>
        <v>-62167</v>
      </c>
      <c r="H106" s="280">
        <f t="shared" si="43"/>
        <v>14.84</v>
      </c>
      <c r="I106" s="358"/>
    </row>
    <row r="107" spans="1:10" ht="31.2" hidden="1" x14ac:dyDescent="0.3">
      <c r="A107" s="79" t="s">
        <v>213</v>
      </c>
      <c r="B107" s="286">
        <v>244</v>
      </c>
      <c r="C107" s="286" t="s">
        <v>214</v>
      </c>
      <c r="D107" s="278">
        <f t="shared" si="47"/>
        <v>3108893.58</v>
      </c>
      <c r="E107" s="348">
        <f t="shared" si="47"/>
        <v>845400</v>
      </c>
      <c r="F107" s="278">
        <f t="shared" si="47"/>
        <v>1865336</v>
      </c>
      <c r="G107" s="278">
        <f t="shared" si="42"/>
        <v>-1243557.58</v>
      </c>
      <c r="H107" s="280">
        <f t="shared" si="43"/>
        <v>60</v>
      </c>
      <c r="I107" s="358"/>
    </row>
    <row r="108" spans="1:10" ht="31.2" hidden="1" x14ac:dyDescent="0.3">
      <c r="A108" s="79" t="s">
        <v>215</v>
      </c>
      <c r="B108" s="286">
        <v>244</v>
      </c>
      <c r="C108" s="286" t="s">
        <v>216</v>
      </c>
      <c r="D108" s="278">
        <f>D22+D72</f>
        <v>4893100</v>
      </c>
      <c r="E108" s="348">
        <f>E22+E72</f>
        <v>620000</v>
      </c>
      <c r="F108" s="278">
        <f>F22+F72</f>
        <v>1533196</v>
      </c>
      <c r="G108" s="278">
        <f t="shared" si="42"/>
        <v>-3359904</v>
      </c>
      <c r="H108" s="280">
        <f t="shared" si="43"/>
        <v>31.33</v>
      </c>
      <c r="I108" s="358"/>
    </row>
    <row r="109" spans="1:10" ht="31.2" hidden="1" x14ac:dyDescent="0.3">
      <c r="A109" s="79" t="s">
        <v>217</v>
      </c>
      <c r="B109" s="286">
        <v>244</v>
      </c>
      <c r="C109" s="286" t="s">
        <v>218</v>
      </c>
      <c r="D109" s="278">
        <f>D23+D30+D73</f>
        <v>1585152.17</v>
      </c>
      <c r="E109" s="348">
        <f>E23+E30+E73</f>
        <v>354144.17</v>
      </c>
      <c r="F109" s="278">
        <f>F23+F30+F73</f>
        <v>150681</v>
      </c>
      <c r="G109" s="278">
        <f t="shared" si="42"/>
        <v>-1434471.17</v>
      </c>
      <c r="H109" s="280">
        <f t="shared" si="43"/>
        <v>9.51</v>
      </c>
      <c r="I109" s="358"/>
    </row>
    <row r="110" spans="1:10" ht="31.2" hidden="1" x14ac:dyDescent="0.3">
      <c r="A110" s="79" t="s">
        <v>219</v>
      </c>
      <c r="B110" s="286">
        <v>244</v>
      </c>
      <c r="C110" s="286" t="s">
        <v>220</v>
      </c>
      <c r="D110" s="278">
        <f>D53+D84</f>
        <v>226635.34</v>
      </c>
      <c r="E110" s="348">
        <f>E53+E84</f>
        <v>117114.66</v>
      </c>
      <c r="F110" s="278">
        <f>F53+F84</f>
        <v>181308</v>
      </c>
      <c r="G110" s="278">
        <f t="shared" si="42"/>
        <v>-45327.34</v>
      </c>
      <c r="H110" s="280">
        <f t="shared" si="43"/>
        <v>80</v>
      </c>
      <c r="I110" s="358"/>
    </row>
    <row r="111" spans="1:10" x14ac:dyDescent="0.3">
      <c r="A111" s="232"/>
      <c r="B111" s="233"/>
      <c r="C111" s="233"/>
      <c r="D111" s="289"/>
      <c r="E111" s="351"/>
      <c r="F111" s="289"/>
      <c r="G111" s="233"/>
      <c r="H111" s="233"/>
    </row>
    <row r="112" spans="1:10" ht="15.75" customHeight="1" x14ac:dyDescent="0.3">
      <c r="A112" s="273" t="s">
        <v>352</v>
      </c>
      <c r="B112" s="467"/>
      <c r="C112" s="343"/>
      <c r="D112" s="343"/>
      <c r="E112" s="473"/>
      <c r="F112" s="468"/>
      <c r="G112" s="577" t="s">
        <v>810</v>
      </c>
      <c r="H112" s="577"/>
      <c r="J112" s="345"/>
    </row>
    <row r="113" spans="1:10" s="275" customFormat="1" ht="13.2" hidden="1" x14ac:dyDescent="0.25">
      <c r="A113" s="274"/>
      <c r="B113" s="395"/>
      <c r="C113" s="578" t="s">
        <v>96</v>
      </c>
      <c r="D113" s="578"/>
      <c r="E113" s="352"/>
      <c r="F113" s="402"/>
      <c r="G113" s="579" t="s">
        <v>97</v>
      </c>
      <c r="H113" s="579"/>
      <c r="I113" s="389"/>
      <c r="J113" s="389"/>
    </row>
    <row r="114" spans="1:10" s="275" customFormat="1" ht="13.2" x14ac:dyDescent="0.25">
      <c r="A114" s="274"/>
      <c r="B114" s="395"/>
      <c r="C114" s="438"/>
      <c r="D114" s="438"/>
      <c r="E114" s="352"/>
      <c r="F114" s="402"/>
      <c r="G114" s="438"/>
      <c r="H114" s="438"/>
      <c r="I114" s="389"/>
      <c r="J114" s="389"/>
    </row>
    <row r="115" spans="1:10" ht="15.75" customHeight="1" x14ac:dyDescent="0.3">
      <c r="A115" s="273" t="s">
        <v>296</v>
      </c>
      <c r="B115" s="394"/>
      <c r="C115" s="343"/>
      <c r="D115" s="343"/>
      <c r="E115" s="473"/>
      <c r="F115" s="345"/>
      <c r="G115" s="577" t="s">
        <v>811</v>
      </c>
      <c r="H115" s="577"/>
      <c r="J115" s="345"/>
    </row>
    <row r="116" spans="1:10" s="275" customFormat="1" ht="13.2" x14ac:dyDescent="0.25">
      <c r="B116" s="389"/>
      <c r="C116" s="579" t="s">
        <v>96</v>
      </c>
      <c r="D116" s="579"/>
      <c r="E116" s="352"/>
      <c r="F116" s="389"/>
      <c r="G116" s="579" t="s">
        <v>97</v>
      </c>
      <c r="H116" s="579"/>
      <c r="I116" s="389"/>
      <c r="J116" s="389"/>
    </row>
    <row r="117" spans="1:10" s="275" customFormat="1" ht="13.2" x14ac:dyDescent="0.25">
      <c r="B117" s="389"/>
      <c r="C117" s="438"/>
      <c r="D117" s="438"/>
      <c r="E117" s="352"/>
      <c r="F117" s="389"/>
      <c r="G117" s="438"/>
      <c r="H117" s="438"/>
      <c r="I117" s="389"/>
      <c r="J117" s="389"/>
    </row>
    <row r="118" spans="1:10" ht="15.75" customHeight="1" x14ac:dyDescent="0.3">
      <c r="A118" s="273" t="s">
        <v>297</v>
      </c>
      <c r="B118" s="577" t="s">
        <v>910</v>
      </c>
      <c r="C118" s="577"/>
      <c r="D118" s="577"/>
      <c r="E118" s="474"/>
      <c r="F118" s="403"/>
      <c r="G118" s="577" t="s">
        <v>811</v>
      </c>
      <c r="H118" s="577"/>
      <c r="I118" s="403" t="s">
        <v>912</v>
      </c>
      <c r="J118" s="345"/>
    </row>
    <row r="119" spans="1:10" ht="15.75" customHeight="1" x14ac:dyDescent="0.3">
      <c r="B119" s="580" t="s">
        <v>152</v>
      </c>
      <c r="C119" s="580"/>
      <c r="D119" s="580"/>
      <c r="E119" s="353"/>
      <c r="F119" s="469" t="s">
        <v>96</v>
      </c>
      <c r="G119" s="576" t="s">
        <v>97</v>
      </c>
      <c r="H119" s="576"/>
      <c r="I119" s="483" t="s">
        <v>176</v>
      </c>
      <c r="J119" s="345"/>
    </row>
  </sheetData>
  <autoFilter ref="A6:I113">
    <filterColumn colId="2">
      <filters blank="1">
        <filter val="211.00"/>
        <filter val="213.00"/>
      </filters>
    </filterColumn>
    <filterColumn colId="6" showButton="0"/>
  </autoFilter>
  <mergeCells count="35">
    <mergeCell ref="A76:I76"/>
    <mergeCell ref="A81:I81"/>
    <mergeCell ref="A3:I4"/>
    <mergeCell ref="A16:I16"/>
    <mergeCell ref="A25:I25"/>
    <mergeCell ref="A33:I33"/>
    <mergeCell ref="A34:I34"/>
    <mergeCell ref="A38:I38"/>
    <mergeCell ref="A42:I42"/>
    <mergeCell ref="A45:I45"/>
    <mergeCell ref="A48:I48"/>
    <mergeCell ref="A55:I55"/>
    <mergeCell ref="A59:I59"/>
    <mergeCell ref="A63:I63"/>
    <mergeCell ref="A11:I11"/>
    <mergeCell ref="A12:I12"/>
    <mergeCell ref="A2:I2"/>
    <mergeCell ref="A6:A9"/>
    <mergeCell ref="B6:B9"/>
    <mergeCell ref="C6:C9"/>
    <mergeCell ref="D6:D9"/>
    <mergeCell ref="F6:F9"/>
    <mergeCell ref="I6:I9"/>
    <mergeCell ref="G6:H8"/>
    <mergeCell ref="E6:E9"/>
    <mergeCell ref="G119:H119"/>
    <mergeCell ref="G115:H115"/>
    <mergeCell ref="G112:H112"/>
    <mergeCell ref="C113:D113"/>
    <mergeCell ref="G113:H113"/>
    <mergeCell ref="C116:D116"/>
    <mergeCell ref="G116:H116"/>
    <mergeCell ref="G118:H118"/>
    <mergeCell ref="B119:D119"/>
    <mergeCell ref="B118:D118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48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zoomScale="80" zoomScaleNormal="80" workbookViewId="0">
      <selection activeCell="M12" sqref="M12"/>
    </sheetView>
  </sheetViews>
  <sheetFormatPr defaultColWidth="9.109375" defaultRowHeight="15.6" x14ac:dyDescent="0.3"/>
  <cols>
    <col min="1" max="1" width="90.6640625" style="334" customWidth="1"/>
    <col min="2" max="2" width="13.6640625" style="334" customWidth="1"/>
    <col min="3" max="3" width="33.33203125" style="334" customWidth="1"/>
    <col min="4" max="4" width="8.109375" style="334" customWidth="1"/>
    <col min="5" max="5" width="13.88671875" style="334" customWidth="1"/>
    <col min="6" max="6" width="15.6640625" style="334" customWidth="1"/>
    <col min="7" max="7" width="13.88671875" style="334" customWidth="1"/>
    <col min="8" max="10" width="15.6640625" style="334" customWidth="1"/>
    <col min="11" max="16384" width="9.109375" style="57"/>
  </cols>
  <sheetData>
    <row r="1" spans="1:10" x14ac:dyDescent="0.3">
      <c r="E1" s="626" t="s">
        <v>95</v>
      </c>
      <c r="F1" s="626"/>
      <c r="G1" s="626"/>
      <c r="H1" s="626"/>
      <c r="I1" s="626"/>
      <c r="J1" s="626"/>
    </row>
    <row r="2" spans="1:10" x14ac:dyDescent="0.3">
      <c r="E2" s="627" t="s">
        <v>144</v>
      </c>
      <c r="F2" s="627"/>
      <c r="G2" s="627"/>
      <c r="H2" s="627"/>
      <c r="I2" s="627"/>
      <c r="J2" s="627"/>
    </row>
    <row r="3" spans="1:10" s="61" customFormat="1" ht="12.75" customHeight="1" x14ac:dyDescent="0.25">
      <c r="A3" s="112"/>
      <c r="B3" s="112"/>
      <c r="C3" s="112"/>
      <c r="D3" s="112"/>
      <c r="E3" s="628" t="s">
        <v>145</v>
      </c>
      <c r="F3" s="628"/>
      <c r="G3" s="628"/>
      <c r="H3" s="628"/>
      <c r="I3" s="628"/>
      <c r="J3" s="628"/>
    </row>
    <row r="4" spans="1:10" s="61" customFormat="1" ht="13.2" x14ac:dyDescent="0.25">
      <c r="A4" s="112"/>
      <c r="B4" s="112"/>
      <c r="C4" s="112"/>
      <c r="D4" s="112"/>
      <c r="E4" s="629"/>
      <c r="F4" s="629"/>
      <c r="G4" s="629"/>
      <c r="H4" s="629"/>
      <c r="I4" s="629"/>
      <c r="J4" s="629"/>
    </row>
    <row r="5" spans="1:10" x14ac:dyDescent="0.3">
      <c r="E5" s="627"/>
      <c r="F5" s="627"/>
      <c r="G5" s="43"/>
      <c r="H5" s="627" t="s">
        <v>153</v>
      </c>
      <c r="I5" s="627"/>
      <c r="J5" s="627"/>
    </row>
    <row r="6" spans="1:10" s="61" customFormat="1" ht="13.2" x14ac:dyDescent="0.25">
      <c r="A6" s="112"/>
      <c r="B6" s="112"/>
      <c r="C6" s="112"/>
      <c r="D6" s="112"/>
      <c r="E6" s="630" t="s">
        <v>96</v>
      </c>
      <c r="F6" s="630"/>
      <c r="G6" s="112"/>
      <c r="H6" s="631" t="s">
        <v>97</v>
      </c>
      <c r="I6" s="631"/>
      <c r="J6" s="631"/>
    </row>
    <row r="7" spans="1:10" x14ac:dyDescent="0.3">
      <c r="E7" s="44" t="str">
        <f>'Заголовочная часть'!J6</f>
        <v>« 06 » апреля 2018 года</v>
      </c>
      <c r="F7" s="43"/>
      <c r="G7" s="43"/>
      <c r="H7" s="38"/>
    </row>
    <row r="8" spans="1:10" s="62" customFormat="1" ht="10.199999999999999" x14ac:dyDescent="0.2">
      <c r="A8" s="30"/>
      <c r="B8" s="30"/>
      <c r="C8" s="30"/>
      <c r="D8" s="30"/>
      <c r="E8" s="32"/>
      <c r="F8" s="33"/>
      <c r="G8" s="33"/>
      <c r="H8" s="30"/>
      <c r="I8" s="30"/>
      <c r="J8" s="30"/>
    </row>
    <row r="9" spans="1:10" ht="17.399999999999999" x14ac:dyDescent="0.3">
      <c r="B9" s="164"/>
      <c r="C9" s="113" t="s">
        <v>98</v>
      </c>
      <c r="D9" s="164"/>
      <c r="E9" s="164"/>
      <c r="F9" s="164"/>
      <c r="G9" s="164"/>
      <c r="H9" s="164"/>
      <c r="I9" s="164"/>
      <c r="J9" s="39"/>
    </row>
    <row r="10" spans="1:10" x14ac:dyDescent="0.3">
      <c r="A10" s="632" t="s">
        <v>135</v>
      </c>
      <c r="B10" s="632"/>
      <c r="C10" s="632"/>
      <c r="D10" s="632"/>
      <c r="E10" s="632"/>
      <c r="F10" s="632"/>
      <c r="G10" s="632"/>
      <c r="H10" s="632"/>
      <c r="I10" s="632"/>
      <c r="J10" s="39"/>
    </row>
    <row r="11" spans="1:10" ht="16.2" thickBot="1" x14ac:dyDescent="0.35">
      <c r="A11" s="632"/>
      <c r="B11" s="632"/>
      <c r="C11" s="632"/>
      <c r="D11" s="632"/>
      <c r="E11" s="632"/>
      <c r="F11" s="632"/>
      <c r="G11" s="632"/>
      <c r="H11" s="632"/>
      <c r="I11" s="632"/>
      <c r="J11" s="40" t="s">
        <v>99</v>
      </c>
    </row>
    <row r="12" spans="1:10" ht="18" x14ac:dyDescent="0.35">
      <c r="C12" s="327" t="str">
        <f>'Заголовочная часть'!A11</f>
        <v>от « 06 » апреля 2018 года</v>
      </c>
      <c r="I12" s="2" t="s">
        <v>100</v>
      </c>
      <c r="J12" s="41" t="s">
        <v>101</v>
      </c>
    </row>
    <row r="13" spans="1:10" x14ac:dyDescent="0.3">
      <c r="C13" s="57"/>
      <c r="D13" s="43"/>
      <c r="E13" s="43"/>
      <c r="F13" s="45"/>
      <c r="I13" s="2" t="s">
        <v>102</v>
      </c>
      <c r="J13" s="498" t="s">
        <v>936</v>
      </c>
    </row>
    <row r="14" spans="1:10" x14ac:dyDescent="0.3">
      <c r="A14" s="1" t="s">
        <v>103</v>
      </c>
      <c r="B14" s="633" t="str">
        <f>'Заголовочная часть'!B14</f>
        <v>Областное государственное бюджетное профессиональное образовательное учреждение "Костромской автодорожный колледж"</v>
      </c>
      <c r="C14" s="633"/>
      <c r="D14" s="633"/>
      <c r="E14" s="633"/>
      <c r="F14" s="633"/>
      <c r="G14" s="633"/>
      <c r="H14" s="633"/>
      <c r="I14" s="2"/>
      <c r="J14" s="621" t="s">
        <v>905</v>
      </c>
    </row>
    <row r="15" spans="1:10" x14ac:dyDescent="0.3">
      <c r="A15" s="1" t="s">
        <v>104</v>
      </c>
      <c r="B15" s="634"/>
      <c r="C15" s="634"/>
      <c r="D15" s="634"/>
      <c r="E15" s="634"/>
      <c r="F15" s="634"/>
      <c r="G15" s="634"/>
      <c r="H15" s="634"/>
      <c r="I15" s="2" t="s">
        <v>105</v>
      </c>
      <c r="J15" s="621"/>
    </row>
    <row r="16" spans="1:10" s="62" customFormat="1" ht="12" customHeight="1" thickBot="1" x14ac:dyDescent="0.25">
      <c r="A16" s="31"/>
      <c r="B16" s="30"/>
      <c r="C16" s="30"/>
      <c r="D16" s="30"/>
      <c r="E16" s="30"/>
      <c r="F16" s="30"/>
      <c r="G16" s="30"/>
      <c r="H16" s="30"/>
      <c r="I16" s="32"/>
      <c r="J16" s="621" t="s">
        <v>938</v>
      </c>
    </row>
    <row r="17" spans="1:10" ht="16.2" thickBot="1" x14ac:dyDescent="0.35">
      <c r="B17" s="334" t="s">
        <v>106</v>
      </c>
      <c r="C17" s="635" t="s">
        <v>906</v>
      </c>
      <c r="D17" s="636"/>
      <c r="I17" s="2" t="s">
        <v>107</v>
      </c>
      <c r="J17" s="621"/>
    </row>
    <row r="18" spans="1:10" x14ac:dyDescent="0.3">
      <c r="A18" s="1" t="s">
        <v>108</v>
      </c>
      <c r="B18" s="620" t="s">
        <v>138</v>
      </c>
      <c r="C18" s="620"/>
      <c r="D18" s="620"/>
      <c r="E18" s="620"/>
      <c r="F18" s="620"/>
      <c r="G18" s="620"/>
      <c r="H18" s="620"/>
      <c r="I18" s="2" t="s">
        <v>109</v>
      </c>
      <c r="J18" s="421" t="s">
        <v>907</v>
      </c>
    </row>
    <row r="19" spans="1:10" x14ac:dyDescent="0.3">
      <c r="A19" s="1" t="s">
        <v>110</v>
      </c>
      <c r="I19" s="2"/>
      <c r="J19" s="421"/>
    </row>
    <row r="20" spans="1:10" x14ac:dyDescent="0.3">
      <c r="A20" s="1" t="s">
        <v>111</v>
      </c>
      <c r="B20" s="620" t="s">
        <v>139</v>
      </c>
      <c r="C20" s="620"/>
      <c r="D20" s="620"/>
      <c r="E20" s="620"/>
      <c r="F20" s="620"/>
      <c r="G20" s="620"/>
      <c r="H20" s="620"/>
      <c r="I20" s="2" t="s">
        <v>112</v>
      </c>
      <c r="J20" s="421" t="s">
        <v>141</v>
      </c>
    </row>
    <row r="21" spans="1:10" x14ac:dyDescent="0.3">
      <c r="A21" s="1" t="s">
        <v>110</v>
      </c>
      <c r="I21" s="2"/>
      <c r="J21" s="621" t="s">
        <v>908</v>
      </c>
    </row>
    <row r="22" spans="1:10" x14ac:dyDescent="0.3">
      <c r="A22" s="1" t="s">
        <v>113</v>
      </c>
      <c r="B22" s="620" t="s">
        <v>140</v>
      </c>
      <c r="C22" s="620"/>
      <c r="D22" s="620"/>
      <c r="E22" s="620"/>
      <c r="F22" s="620"/>
      <c r="G22" s="620"/>
      <c r="H22" s="620"/>
      <c r="I22" s="2" t="s">
        <v>105</v>
      </c>
      <c r="J22" s="621"/>
    </row>
    <row r="23" spans="1:10" x14ac:dyDescent="0.3">
      <c r="A23" s="1" t="s">
        <v>114</v>
      </c>
      <c r="I23" s="2" t="s">
        <v>115</v>
      </c>
      <c r="J23" s="421" t="s">
        <v>327</v>
      </c>
    </row>
    <row r="24" spans="1:10" ht="16.2" thickBot="1" x14ac:dyDescent="0.35">
      <c r="A24" s="333"/>
      <c r="B24" s="57"/>
      <c r="C24" s="43"/>
      <c r="D24" s="43"/>
      <c r="E24" s="43"/>
      <c r="I24" s="2" t="s">
        <v>116</v>
      </c>
      <c r="J24" s="42"/>
    </row>
    <row r="25" spans="1:10" s="62" customFormat="1" ht="10.8" thickBot="1" x14ac:dyDescent="0.25">
      <c r="A25" s="54" t="s">
        <v>117</v>
      </c>
      <c r="C25" s="52"/>
      <c r="D25" s="52"/>
      <c r="E25" s="52"/>
      <c r="F25" s="30"/>
      <c r="G25" s="30"/>
      <c r="H25" s="30"/>
      <c r="I25" s="30"/>
      <c r="J25" s="34"/>
    </row>
    <row r="26" spans="1:10" ht="16.2" thickBot="1" x14ac:dyDescent="0.35">
      <c r="B26" s="38"/>
      <c r="H26" s="2" t="s">
        <v>70</v>
      </c>
      <c r="I26" s="622">
        <v>0</v>
      </c>
      <c r="J26" s="623"/>
    </row>
    <row r="27" spans="1:10" s="62" customFormat="1" ht="10.199999999999999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4"/>
    </row>
    <row r="28" spans="1:10" s="60" customFormat="1" ht="66.75" customHeight="1" x14ac:dyDescent="0.3">
      <c r="A28" s="624" t="s">
        <v>118</v>
      </c>
      <c r="B28" s="624" t="s">
        <v>131</v>
      </c>
      <c r="C28" s="624" t="s">
        <v>53</v>
      </c>
      <c r="D28" s="624" t="s">
        <v>132</v>
      </c>
      <c r="E28" s="624" t="s">
        <v>134</v>
      </c>
      <c r="F28" s="624"/>
      <c r="G28" s="624" t="s">
        <v>133</v>
      </c>
      <c r="H28" s="624"/>
      <c r="I28" s="624" t="s">
        <v>119</v>
      </c>
      <c r="J28" s="624"/>
    </row>
    <row r="29" spans="1:10" s="60" customFormat="1" ht="16.2" thickBot="1" x14ac:dyDescent="0.35">
      <c r="A29" s="624"/>
      <c r="B29" s="625"/>
      <c r="C29" s="625"/>
      <c r="D29" s="625"/>
      <c r="E29" s="328" t="s">
        <v>120</v>
      </c>
      <c r="F29" s="328" t="s">
        <v>121</v>
      </c>
      <c r="G29" s="328" t="s">
        <v>120</v>
      </c>
      <c r="H29" s="328" t="s">
        <v>121</v>
      </c>
      <c r="I29" s="328" t="s">
        <v>122</v>
      </c>
      <c r="J29" s="328" t="s">
        <v>123</v>
      </c>
    </row>
    <row r="30" spans="1:10" ht="16.2" thickBot="1" x14ac:dyDescent="0.35">
      <c r="A30" s="3">
        <v>1</v>
      </c>
      <c r="B30" s="134">
        <v>2</v>
      </c>
      <c r="C30" s="135">
        <v>3</v>
      </c>
      <c r="D30" s="135">
        <v>4</v>
      </c>
      <c r="E30" s="135">
        <v>5</v>
      </c>
      <c r="F30" s="135">
        <v>6</v>
      </c>
      <c r="G30" s="135">
        <v>7</v>
      </c>
      <c r="H30" s="135">
        <v>8</v>
      </c>
      <c r="I30" s="135">
        <v>9</v>
      </c>
      <c r="J30" s="136">
        <v>10</v>
      </c>
    </row>
    <row r="31" spans="1:10" s="63" customFormat="1" x14ac:dyDescent="0.3">
      <c r="A31" s="603" t="s">
        <v>301</v>
      </c>
      <c r="B31" s="606" t="s">
        <v>180</v>
      </c>
      <c r="C31" s="330" t="s">
        <v>318</v>
      </c>
      <c r="D31" s="330"/>
      <c r="E31" s="609"/>
      <c r="F31" s="129"/>
      <c r="G31" s="609"/>
      <c r="H31" s="129"/>
      <c r="I31" s="129">
        <f>SUM(J33:J47)-I32</f>
        <v>460113.02</v>
      </c>
      <c r="J31" s="130"/>
    </row>
    <row r="32" spans="1:10" s="63" customFormat="1" hidden="1" x14ac:dyDescent="0.3">
      <c r="A32" s="604"/>
      <c r="B32" s="607"/>
      <c r="C32" s="331" t="s">
        <v>328</v>
      </c>
      <c r="D32" s="331"/>
      <c r="E32" s="610"/>
      <c r="F32" s="122"/>
      <c r="G32" s="610"/>
      <c r="H32" s="122"/>
      <c r="I32" s="122"/>
      <c r="J32" s="124"/>
    </row>
    <row r="33" spans="1:10" s="63" customFormat="1" hidden="1" x14ac:dyDescent="0.3">
      <c r="A33" s="604"/>
      <c r="B33" s="607"/>
      <c r="C33" s="331" t="s">
        <v>309</v>
      </c>
      <c r="D33" s="331"/>
      <c r="E33" s="610"/>
      <c r="F33" s="122"/>
      <c r="G33" s="610"/>
      <c r="H33" s="122"/>
      <c r="I33" s="122"/>
      <c r="J33" s="124"/>
    </row>
    <row r="34" spans="1:10" s="63" customFormat="1" hidden="1" x14ac:dyDescent="0.3">
      <c r="A34" s="604"/>
      <c r="B34" s="607"/>
      <c r="C34" s="331" t="s">
        <v>319</v>
      </c>
      <c r="D34" s="331"/>
      <c r="E34" s="610"/>
      <c r="F34" s="122"/>
      <c r="G34" s="610"/>
      <c r="H34" s="122"/>
      <c r="I34" s="122"/>
      <c r="J34" s="124"/>
    </row>
    <row r="35" spans="1:10" s="63" customFormat="1" hidden="1" x14ac:dyDescent="0.3">
      <c r="A35" s="604"/>
      <c r="B35" s="607"/>
      <c r="C35" s="331" t="s">
        <v>320</v>
      </c>
      <c r="D35" s="331"/>
      <c r="E35" s="610"/>
      <c r="F35" s="122"/>
      <c r="G35" s="610"/>
      <c r="H35" s="122"/>
      <c r="I35" s="122"/>
      <c r="J35" s="124"/>
    </row>
    <row r="36" spans="1:10" s="63" customFormat="1" hidden="1" x14ac:dyDescent="0.3">
      <c r="A36" s="604"/>
      <c r="B36" s="607"/>
      <c r="C36" s="331" t="s">
        <v>321</v>
      </c>
      <c r="D36" s="331"/>
      <c r="E36" s="610"/>
      <c r="F36" s="122"/>
      <c r="G36" s="610"/>
      <c r="H36" s="122"/>
      <c r="I36" s="122"/>
      <c r="J36" s="124"/>
    </row>
    <row r="37" spans="1:10" s="63" customFormat="1" x14ac:dyDescent="0.3">
      <c r="A37" s="604"/>
      <c r="B37" s="607"/>
      <c r="C37" s="494" t="s">
        <v>319</v>
      </c>
      <c r="D37" s="494"/>
      <c r="E37" s="610"/>
      <c r="F37" s="122"/>
      <c r="G37" s="610"/>
      <c r="H37" s="122"/>
      <c r="I37" s="122"/>
      <c r="J37" s="124">
        <v>234172.1</v>
      </c>
    </row>
    <row r="38" spans="1:10" s="63" customFormat="1" x14ac:dyDescent="0.3">
      <c r="A38" s="604"/>
      <c r="B38" s="607"/>
      <c r="C38" s="494" t="s">
        <v>321</v>
      </c>
      <c r="D38" s="494"/>
      <c r="E38" s="610"/>
      <c r="F38" s="122"/>
      <c r="G38" s="610"/>
      <c r="H38" s="122"/>
      <c r="I38" s="122"/>
      <c r="J38" s="124">
        <v>58323.4</v>
      </c>
    </row>
    <row r="39" spans="1:10" s="63" customFormat="1" x14ac:dyDescent="0.3">
      <c r="A39" s="604"/>
      <c r="B39" s="607"/>
      <c r="C39" s="331" t="s">
        <v>313</v>
      </c>
      <c r="D39" s="331"/>
      <c r="E39" s="610"/>
      <c r="F39" s="122"/>
      <c r="G39" s="610"/>
      <c r="H39" s="122"/>
      <c r="I39" s="122"/>
      <c r="J39" s="124">
        <v>119457.52</v>
      </c>
    </row>
    <row r="40" spans="1:10" s="63" customFormat="1" hidden="1" x14ac:dyDescent="0.3">
      <c r="A40" s="604"/>
      <c r="B40" s="607"/>
      <c r="C40" s="331" t="s">
        <v>314</v>
      </c>
      <c r="D40" s="331"/>
      <c r="E40" s="610"/>
      <c r="F40" s="122"/>
      <c r="G40" s="610"/>
      <c r="H40" s="122"/>
      <c r="I40" s="122"/>
      <c r="J40" s="124"/>
    </row>
    <row r="41" spans="1:10" s="63" customFormat="1" hidden="1" x14ac:dyDescent="0.3">
      <c r="A41" s="604"/>
      <c r="B41" s="607"/>
      <c r="C41" s="331" t="s">
        <v>711</v>
      </c>
      <c r="D41" s="331"/>
      <c r="E41" s="610"/>
      <c r="F41" s="122"/>
      <c r="G41" s="610"/>
      <c r="H41" s="122"/>
      <c r="I41" s="122"/>
      <c r="J41" s="124"/>
    </row>
    <row r="42" spans="1:10" s="63" customFormat="1" hidden="1" x14ac:dyDescent="0.3">
      <c r="A42" s="604"/>
      <c r="B42" s="607"/>
      <c r="C42" s="331" t="s">
        <v>315</v>
      </c>
      <c r="D42" s="331"/>
      <c r="E42" s="610"/>
      <c r="F42" s="122"/>
      <c r="G42" s="610"/>
      <c r="H42" s="122"/>
      <c r="I42" s="122"/>
      <c r="J42" s="124"/>
    </row>
    <row r="43" spans="1:10" s="63" customFormat="1" hidden="1" x14ac:dyDescent="0.3">
      <c r="A43" s="604"/>
      <c r="B43" s="607"/>
      <c r="C43" s="331" t="s">
        <v>322</v>
      </c>
      <c r="D43" s="331"/>
      <c r="E43" s="610"/>
      <c r="F43" s="122"/>
      <c r="G43" s="610"/>
      <c r="H43" s="122"/>
      <c r="I43" s="122"/>
      <c r="J43" s="124"/>
    </row>
    <row r="44" spans="1:10" s="63" customFormat="1" hidden="1" x14ac:dyDescent="0.3">
      <c r="A44" s="604"/>
      <c r="B44" s="607"/>
      <c r="C44" s="331" t="s">
        <v>323</v>
      </c>
      <c r="D44" s="331"/>
      <c r="E44" s="610"/>
      <c r="F44" s="122"/>
      <c r="G44" s="610"/>
      <c r="H44" s="122"/>
      <c r="I44" s="122"/>
      <c r="J44" s="124"/>
    </row>
    <row r="45" spans="1:10" s="63" customFormat="1" hidden="1" x14ac:dyDescent="0.3">
      <c r="A45" s="604"/>
      <c r="B45" s="607"/>
      <c r="C45" s="331" t="s">
        <v>324</v>
      </c>
      <c r="D45" s="331"/>
      <c r="E45" s="610"/>
      <c r="F45" s="122"/>
      <c r="G45" s="610"/>
      <c r="H45" s="122"/>
      <c r="I45" s="122"/>
      <c r="J45" s="124"/>
    </row>
    <row r="46" spans="1:10" s="63" customFormat="1" ht="16.2" thickBot="1" x14ac:dyDescent="0.35">
      <c r="A46" s="604"/>
      <c r="B46" s="607"/>
      <c r="C46" s="331" t="s">
        <v>325</v>
      </c>
      <c r="D46" s="331"/>
      <c r="E46" s="610"/>
      <c r="F46" s="122"/>
      <c r="G46" s="610"/>
      <c r="H46" s="122"/>
      <c r="I46" s="122"/>
      <c r="J46" s="124">
        <v>48160</v>
      </c>
    </row>
    <row r="47" spans="1:10" s="63" customFormat="1" ht="16.2" hidden="1" thickBot="1" x14ac:dyDescent="0.35">
      <c r="A47" s="605"/>
      <c r="B47" s="608"/>
      <c r="C47" s="332" t="s">
        <v>326</v>
      </c>
      <c r="D47" s="332"/>
      <c r="E47" s="611"/>
      <c r="F47" s="123"/>
      <c r="G47" s="611"/>
      <c r="H47" s="123"/>
      <c r="I47" s="123"/>
      <c r="J47" s="125"/>
    </row>
    <row r="48" spans="1:10" s="63" customFormat="1" hidden="1" x14ac:dyDescent="0.3">
      <c r="A48" s="619" t="s">
        <v>302</v>
      </c>
      <c r="B48" s="606" t="s">
        <v>222</v>
      </c>
      <c r="C48" s="330" t="s">
        <v>318</v>
      </c>
      <c r="D48" s="330"/>
      <c r="E48" s="609"/>
      <c r="F48" s="129"/>
      <c r="G48" s="609"/>
      <c r="H48" s="129"/>
      <c r="I48" s="129">
        <f>J50-I49</f>
        <v>0</v>
      </c>
      <c r="J48" s="130"/>
    </row>
    <row r="49" spans="1:10" s="63" customFormat="1" hidden="1" x14ac:dyDescent="0.3">
      <c r="A49" s="619"/>
      <c r="B49" s="607"/>
      <c r="C49" s="331" t="s">
        <v>328</v>
      </c>
      <c r="D49" s="331"/>
      <c r="E49" s="610"/>
      <c r="F49" s="122"/>
      <c r="G49" s="610"/>
      <c r="H49" s="122"/>
      <c r="I49" s="122"/>
      <c r="J49" s="124"/>
    </row>
    <row r="50" spans="1:10" s="63" customFormat="1" ht="16.2" hidden="1" thickBot="1" x14ac:dyDescent="0.35">
      <c r="A50" s="619"/>
      <c r="B50" s="608"/>
      <c r="C50" s="332" t="s">
        <v>310</v>
      </c>
      <c r="D50" s="332"/>
      <c r="E50" s="611"/>
      <c r="F50" s="123"/>
      <c r="G50" s="611"/>
      <c r="H50" s="123"/>
      <c r="I50" s="123"/>
      <c r="J50" s="125"/>
    </row>
    <row r="51" spans="1:10" hidden="1" x14ac:dyDescent="0.3">
      <c r="A51" s="117"/>
      <c r="B51" s="43"/>
      <c r="C51" s="43"/>
      <c r="D51" s="38"/>
      <c r="E51" s="131"/>
      <c r="G51" s="131"/>
      <c r="I51" s="2" t="s">
        <v>125</v>
      </c>
      <c r="J51" s="118">
        <v>1</v>
      </c>
    </row>
    <row r="52" spans="1:10" s="62" customFormat="1" ht="16.2" hidden="1" thickBot="1" x14ac:dyDescent="0.35">
      <c r="A52" s="52"/>
      <c r="B52" s="52"/>
      <c r="C52" s="33"/>
      <c r="D52" s="33"/>
      <c r="E52" s="132"/>
      <c r="F52" s="30"/>
      <c r="G52" s="132"/>
      <c r="H52" s="30"/>
      <c r="I52" s="2" t="s">
        <v>126</v>
      </c>
      <c r="J52" s="119">
        <v>3</v>
      </c>
    </row>
    <row r="53" spans="1:10" s="62" customFormat="1" ht="16.2" hidden="1" thickBot="1" x14ac:dyDescent="0.35">
      <c r="A53" s="52"/>
      <c r="B53" s="52"/>
      <c r="C53" s="33"/>
      <c r="D53" s="33"/>
      <c r="E53" s="132"/>
      <c r="F53" s="30"/>
      <c r="G53" s="132"/>
      <c r="H53" s="30"/>
      <c r="I53" s="2"/>
      <c r="J53" s="133"/>
    </row>
    <row r="54" spans="1:10" s="63" customFormat="1" ht="29.25" hidden="1" customHeight="1" x14ac:dyDescent="0.3">
      <c r="A54" s="619" t="s">
        <v>306</v>
      </c>
      <c r="B54" s="606" t="s">
        <v>223</v>
      </c>
      <c r="C54" s="330" t="s">
        <v>318</v>
      </c>
      <c r="D54" s="330"/>
      <c r="E54" s="609"/>
      <c r="F54" s="129"/>
      <c r="G54" s="609"/>
      <c r="H54" s="129"/>
      <c r="I54" s="129">
        <f>J56-I55</f>
        <v>0</v>
      </c>
      <c r="J54" s="130"/>
    </row>
    <row r="55" spans="1:10" s="63" customFormat="1" ht="29.25" hidden="1" customHeight="1" x14ac:dyDescent="0.3">
      <c r="A55" s="619"/>
      <c r="B55" s="607"/>
      <c r="C55" s="331" t="s">
        <v>328</v>
      </c>
      <c r="D55" s="331"/>
      <c r="E55" s="610"/>
      <c r="F55" s="122"/>
      <c r="G55" s="610"/>
      <c r="H55" s="122"/>
      <c r="I55" s="122"/>
      <c r="J55" s="124"/>
    </row>
    <row r="56" spans="1:10" s="63" customFormat="1" ht="29.25" hidden="1" customHeight="1" thickBot="1" x14ac:dyDescent="0.35">
      <c r="A56" s="619"/>
      <c r="B56" s="608"/>
      <c r="C56" s="332" t="s">
        <v>310</v>
      </c>
      <c r="D56" s="332"/>
      <c r="E56" s="611"/>
      <c r="F56" s="123"/>
      <c r="G56" s="611"/>
      <c r="H56" s="123"/>
      <c r="I56" s="123"/>
      <c r="J56" s="125"/>
    </row>
    <row r="57" spans="1:10" s="63" customFormat="1" hidden="1" x14ac:dyDescent="0.3">
      <c r="A57" s="603" t="s">
        <v>303</v>
      </c>
      <c r="B57" s="606" t="s">
        <v>181</v>
      </c>
      <c r="C57" s="330" t="s">
        <v>318</v>
      </c>
      <c r="D57" s="330"/>
      <c r="E57" s="609"/>
      <c r="F57" s="129"/>
      <c r="G57" s="609"/>
      <c r="H57" s="129"/>
      <c r="I57" s="129">
        <f>SUM(J59:J64)-I58</f>
        <v>0</v>
      </c>
      <c r="J57" s="130"/>
    </row>
    <row r="58" spans="1:10" s="63" customFormat="1" hidden="1" x14ac:dyDescent="0.3">
      <c r="A58" s="604"/>
      <c r="B58" s="607"/>
      <c r="C58" s="331" t="s">
        <v>328</v>
      </c>
      <c r="D58" s="331"/>
      <c r="E58" s="610"/>
      <c r="F58" s="122"/>
      <c r="G58" s="610"/>
      <c r="H58" s="122"/>
      <c r="I58" s="122"/>
      <c r="J58" s="124"/>
    </row>
    <row r="59" spans="1:10" s="63" customFormat="1" hidden="1" x14ac:dyDescent="0.3">
      <c r="A59" s="604"/>
      <c r="B59" s="607"/>
      <c r="C59" s="331" t="s">
        <v>311</v>
      </c>
      <c r="D59" s="331"/>
      <c r="E59" s="610"/>
      <c r="F59" s="122"/>
      <c r="G59" s="610"/>
      <c r="H59" s="122"/>
      <c r="I59" s="122"/>
      <c r="J59" s="124"/>
    </row>
    <row r="60" spans="1:10" s="63" customFormat="1" hidden="1" x14ac:dyDescent="0.3">
      <c r="A60" s="604"/>
      <c r="B60" s="607"/>
      <c r="C60" s="331" t="s">
        <v>312</v>
      </c>
      <c r="D60" s="331"/>
      <c r="E60" s="610"/>
      <c r="F60" s="122"/>
      <c r="G60" s="610"/>
      <c r="H60" s="122"/>
      <c r="I60" s="122"/>
      <c r="J60" s="124"/>
    </row>
    <row r="61" spans="1:10" s="63" customFormat="1" hidden="1" x14ac:dyDescent="0.3">
      <c r="A61" s="604"/>
      <c r="B61" s="607"/>
      <c r="C61" s="331" t="s">
        <v>313</v>
      </c>
      <c r="D61" s="331"/>
      <c r="E61" s="610"/>
      <c r="F61" s="122"/>
      <c r="G61" s="610"/>
      <c r="H61" s="122"/>
      <c r="I61" s="122"/>
      <c r="J61" s="124"/>
    </row>
    <row r="62" spans="1:10" s="63" customFormat="1" hidden="1" x14ac:dyDescent="0.3">
      <c r="A62" s="604"/>
      <c r="B62" s="607"/>
      <c r="C62" s="331" t="s">
        <v>314</v>
      </c>
      <c r="D62" s="331"/>
      <c r="E62" s="610"/>
      <c r="F62" s="122"/>
      <c r="G62" s="610"/>
      <c r="H62" s="122"/>
      <c r="I62" s="122"/>
      <c r="J62" s="124"/>
    </row>
    <row r="63" spans="1:10" s="63" customFormat="1" hidden="1" x14ac:dyDescent="0.3">
      <c r="A63" s="604"/>
      <c r="B63" s="607"/>
      <c r="C63" s="331" t="s">
        <v>712</v>
      </c>
      <c r="D63" s="331"/>
      <c r="E63" s="610"/>
      <c r="F63" s="122"/>
      <c r="G63" s="610"/>
      <c r="H63" s="122"/>
      <c r="I63" s="122"/>
      <c r="J63" s="124"/>
    </row>
    <row r="64" spans="1:10" s="63" customFormat="1" ht="16.2" hidden="1" thickBot="1" x14ac:dyDescent="0.35">
      <c r="A64" s="605"/>
      <c r="B64" s="608"/>
      <c r="C64" s="332" t="s">
        <v>713</v>
      </c>
      <c r="D64" s="332"/>
      <c r="E64" s="611"/>
      <c r="F64" s="123"/>
      <c r="G64" s="611"/>
      <c r="H64" s="123"/>
      <c r="I64" s="123"/>
      <c r="J64" s="125"/>
    </row>
    <row r="65" spans="1:10" s="63" customFormat="1" hidden="1" x14ac:dyDescent="0.3">
      <c r="A65" s="603" t="s">
        <v>307</v>
      </c>
      <c r="B65" s="606" t="s">
        <v>182</v>
      </c>
      <c r="C65" s="330" t="s">
        <v>318</v>
      </c>
      <c r="D65" s="330"/>
      <c r="E65" s="609"/>
      <c r="F65" s="129"/>
      <c r="G65" s="609"/>
      <c r="H65" s="129"/>
      <c r="I65" s="129">
        <f>J67-I66</f>
        <v>0</v>
      </c>
      <c r="J65" s="130"/>
    </row>
    <row r="66" spans="1:10" s="63" customFormat="1" hidden="1" x14ac:dyDescent="0.3">
      <c r="A66" s="604"/>
      <c r="B66" s="607"/>
      <c r="C66" s="331" t="s">
        <v>328</v>
      </c>
      <c r="D66" s="331"/>
      <c r="E66" s="610"/>
      <c r="F66" s="122"/>
      <c r="G66" s="610"/>
      <c r="H66" s="122"/>
      <c r="I66" s="122"/>
      <c r="J66" s="124"/>
    </row>
    <row r="67" spans="1:10" s="63" customFormat="1" ht="16.2" hidden="1" thickBot="1" x14ac:dyDescent="0.35">
      <c r="A67" s="605"/>
      <c r="B67" s="608"/>
      <c r="C67" s="332" t="s">
        <v>315</v>
      </c>
      <c r="D67" s="332"/>
      <c r="E67" s="611"/>
      <c r="F67" s="123"/>
      <c r="G67" s="611"/>
      <c r="H67" s="123"/>
      <c r="I67" s="123"/>
      <c r="J67" s="125"/>
    </row>
    <row r="68" spans="1:10" s="63" customFormat="1" hidden="1" x14ac:dyDescent="0.3">
      <c r="A68" s="603" t="s">
        <v>224</v>
      </c>
      <c r="B68" s="606" t="s">
        <v>183</v>
      </c>
      <c r="C68" s="330" t="s">
        <v>318</v>
      </c>
      <c r="D68" s="330"/>
      <c r="E68" s="609"/>
      <c r="F68" s="129"/>
      <c r="G68" s="609"/>
      <c r="H68" s="129"/>
      <c r="I68" s="129">
        <f>J70-I69</f>
        <v>0</v>
      </c>
      <c r="J68" s="130"/>
    </row>
    <row r="69" spans="1:10" s="63" customFormat="1" hidden="1" x14ac:dyDescent="0.3">
      <c r="A69" s="604"/>
      <c r="B69" s="607"/>
      <c r="C69" s="331" t="s">
        <v>328</v>
      </c>
      <c r="D69" s="331"/>
      <c r="E69" s="610"/>
      <c r="F69" s="122"/>
      <c r="G69" s="610"/>
      <c r="H69" s="122"/>
      <c r="I69" s="122"/>
      <c r="J69" s="124"/>
    </row>
    <row r="70" spans="1:10" s="63" customFormat="1" ht="16.2" hidden="1" thickBot="1" x14ac:dyDescent="0.35">
      <c r="A70" s="605"/>
      <c r="B70" s="608"/>
      <c r="C70" s="332" t="s">
        <v>315</v>
      </c>
      <c r="D70" s="332"/>
      <c r="E70" s="611"/>
      <c r="F70" s="123"/>
      <c r="G70" s="611"/>
      <c r="H70" s="123"/>
      <c r="I70" s="123"/>
      <c r="J70" s="125"/>
    </row>
    <row r="71" spans="1:10" s="63" customFormat="1" hidden="1" x14ac:dyDescent="0.3">
      <c r="A71" s="603" t="s">
        <v>226</v>
      </c>
      <c r="B71" s="606" t="s">
        <v>225</v>
      </c>
      <c r="C71" s="330" t="s">
        <v>318</v>
      </c>
      <c r="D71" s="330"/>
      <c r="E71" s="609"/>
      <c r="F71" s="129"/>
      <c r="G71" s="609"/>
      <c r="H71" s="129"/>
      <c r="I71" s="129">
        <f>SUM(J73:J76)-I72</f>
        <v>0</v>
      </c>
      <c r="J71" s="130"/>
    </row>
    <row r="72" spans="1:10" s="63" customFormat="1" hidden="1" x14ac:dyDescent="0.3">
      <c r="A72" s="604"/>
      <c r="B72" s="607"/>
      <c r="C72" s="331" t="s">
        <v>328</v>
      </c>
      <c r="D72" s="331"/>
      <c r="E72" s="610"/>
      <c r="F72" s="122"/>
      <c r="G72" s="610"/>
      <c r="H72" s="122"/>
      <c r="I72" s="122"/>
      <c r="J72" s="124"/>
    </row>
    <row r="73" spans="1:10" s="63" customFormat="1" hidden="1" x14ac:dyDescent="0.3">
      <c r="A73" s="604"/>
      <c r="B73" s="607"/>
      <c r="C73" s="331" t="s">
        <v>313</v>
      </c>
      <c r="D73" s="331"/>
      <c r="E73" s="610"/>
      <c r="F73" s="122"/>
      <c r="G73" s="610"/>
      <c r="H73" s="122"/>
      <c r="I73" s="122"/>
      <c r="J73" s="124"/>
    </row>
    <row r="74" spans="1:10" s="63" customFormat="1" hidden="1" x14ac:dyDescent="0.3">
      <c r="A74" s="604"/>
      <c r="B74" s="607"/>
      <c r="C74" s="331" t="s">
        <v>314</v>
      </c>
      <c r="D74" s="331"/>
      <c r="E74" s="610"/>
      <c r="F74" s="122"/>
      <c r="G74" s="610"/>
      <c r="H74" s="122"/>
      <c r="I74" s="122"/>
      <c r="J74" s="124"/>
    </row>
    <row r="75" spans="1:10" s="63" customFormat="1" hidden="1" x14ac:dyDescent="0.3">
      <c r="A75" s="604"/>
      <c r="B75" s="607"/>
      <c r="C75" s="331" t="s">
        <v>315</v>
      </c>
      <c r="D75" s="331"/>
      <c r="E75" s="610"/>
      <c r="F75" s="122"/>
      <c r="G75" s="610"/>
      <c r="H75" s="122"/>
      <c r="I75" s="122"/>
      <c r="J75" s="124"/>
    </row>
    <row r="76" spans="1:10" s="63" customFormat="1" ht="16.2" hidden="1" thickBot="1" x14ac:dyDescent="0.35">
      <c r="A76" s="604"/>
      <c r="B76" s="608"/>
      <c r="C76" s="332" t="s">
        <v>325</v>
      </c>
      <c r="D76" s="332"/>
      <c r="E76" s="611"/>
      <c r="F76" s="123"/>
      <c r="G76" s="611"/>
      <c r="H76" s="123"/>
      <c r="I76" s="123"/>
      <c r="J76" s="125"/>
    </row>
    <row r="77" spans="1:10" s="63" customFormat="1" x14ac:dyDescent="0.3">
      <c r="A77" s="603" t="s">
        <v>304</v>
      </c>
      <c r="B77" s="606" t="s">
        <v>227</v>
      </c>
      <c r="C77" s="330" t="s">
        <v>318</v>
      </c>
      <c r="D77" s="330"/>
      <c r="E77" s="609"/>
      <c r="F77" s="129"/>
      <c r="G77" s="609"/>
      <c r="H77" s="129"/>
      <c r="I77" s="129">
        <f>J78+J79</f>
        <v>3054571</v>
      </c>
      <c r="J77" s="130"/>
    </row>
    <row r="78" spans="1:10" s="63" customFormat="1" x14ac:dyDescent="0.3">
      <c r="A78" s="604"/>
      <c r="B78" s="607"/>
      <c r="C78" s="331" t="s">
        <v>316</v>
      </c>
      <c r="D78" s="331"/>
      <c r="E78" s="610"/>
      <c r="F78" s="122"/>
      <c r="G78" s="610"/>
      <c r="H78" s="122"/>
      <c r="I78" s="122"/>
      <c r="J78" s="124">
        <v>2966320</v>
      </c>
    </row>
    <row r="79" spans="1:10" s="63" customFormat="1" ht="16.2" thickBot="1" x14ac:dyDescent="0.35">
      <c r="A79" s="605"/>
      <c r="B79" s="608"/>
      <c r="C79" s="332" t="s">
        <v>317</v>
      </c>
      <c r="D79" s="332"/>
      <c r="E79" s="611"/>
      <c r="F79" s="123"/>
      <c r="G79" s="611"/>
      <c r="H79" s="123"/>
      <c r="I79" s="123"/>
      <c r="J79" s="125">
        <v>88251</v>
      </c>
    </row>
    <row r="80" spans="1:10" s="63" customFormat="1" ht="15" customHeight="1" x14ac:dyDescent="0.3">
      <c r="A80" s="594" t="s">
        <v>935</v>
      </c>
      <c r="B80" s="596" t="s">
        <v>182</v>
      </c>
      <c r="C80" s="496" t="s">
        <v>318</v>
      </c>
      <c r="D80" s="495"/>
      <c r="E80" s="495"/>
      <c r="F80" s="499"/>
      <c r="G80" s="495"/>
      <c r="H80" s="499"/>
      <c r="I80" s="499">
        <v>462781</v>
      </c>
      <c r="J80" s="500"/>
    </row>
    <row r="81" spans="1:10" s="63" customFormat="1" ht="29.25" customHeight="1" thickBot="1" x14ac:dyDescent="0.35">
      <c r="A81" s="595"/>
      <c r="B81" s="597"/>
      <c r="C81" s="497" t="s">
        <v>315</v>
      </c>
      <c r="D81" s="495"/>
      <c r="E81" s="495"/>
      <c r="F81" s="499"/>
      <c r="G81" s="495"/>
      <c r="H81" s="499"/>
      <c r="J81" s="500">
        <v>462781</v>
      </c>
    </row>
    <row r="82" spans="1:10" s="63" customFormat="1" ht="39" customHeight="1" x14ac:dyDescent="0.3">
      <c r="A82" s="603" t="s">
        <v>305</v>
      </c>
      <c r="B82" s="606" t="s">
        <v>228</v>
      </c>
      <c r="C82" s="330" t="s">
        <v>318</v>
      </c>
      <c r="D82" s="330"/>
      <c r="E82" s="616"/>
      <c r="F82" s="129"/>
      <c r="G82" s="616"/>
      <c r="H82" s="129"/>
      <c r="I82" s="129">
        <f>J84-I83</f>
        <v>29297.7</v>
      </c>
      <c r="J82" s="130"/>
    </row>
    <row r="83" spans="1:10" s="63" customFormat="1" ht="39" hidden="1" customHeight="1" x14ac:dyDescent="0.3">
      <c r="A83" s="604"/>
      <c r="B83" s="607"/>
      <c r="C83" s="331" t="s">
        <v>328</v>
      </c>
      <c r="D83" s="331"/>
      <c r="E83" s="617"/>
      <c r="F83" s="122"/>
      <c r="G83" s="617"/>
      <c r="H83" s="122"/>
      <c r="I83" s="122"/>
      <c r="J83" s="124"/>
    </row>
    <row r="84" spans="1:10" s="63" customFormat="1" ht="78.75" customHeight="1" thickBot="1" x14ac:dyDescent="0.35">
      <c r="A84" s="605"/>
      <c r="B84" s="608"/>
      <c r="C84" s="332" t="s">
        <v>317</v>
      </c>
      <c r="D84" s="332"/>
      <c r="E84" s="618"/>
      <c r="F84" s="123"/>
      <c r="G84" s="618"/>
      <c r="H84" s="123"/>
      <c r="I84" s="123"/>
      <c r="J84" s="125">
        <v>29297.7</v>
      </c>
    </row>
    <row r="85" spans="1:10" s="63" customFormat="1" hidden="1" x14ac:dyDescent="0.3">
      <c r="A85" s="603" t="s">
        <v>714</v>
      </c>
      <c r="B85" s="606" t="s">
        <v>400</v>
      </c>
      <c r="C85" s="330" t="s">
        <v>318</v>
      </c>
      <c r="D85" s="330"/>
      <c r="E85" s="609"/>
      <c r="F85" s="129"/>
      <c r="G85" s="609"/>
      <c r="H85" s="129"/>
      <c r="I85" s="129">
        <f>J87-I86</f>
        <v>0</v>
      </c>
      <c r="J85" s="130"/>
    </row>
    <row r="86" spans="1:10" s="63" customFormat="1" hidden="1" x14ac:dyDescent="0.3">
      <c r="A86" s="604"/>
      <c r="B86" s="607"/>
      <c r="C86" s="331" t="s">
        <v>328</v>
      </c>
      <c r="D86" s="331"/>
      <c r="E86" s="610"/>
      <c r="F86" s="122"/>
      <c r="G86" s="610"/>
      <c r="H86" s="122"/>
      <c r="I86" s="122"/>
      <c r="J86" s="124"/>
    </row>
    <row r="87" spans="1:10" s="63" customFormat="1" ht="16.2" hidden="1" thickBot="1" x14ac:dyDescent="0.35">
      <c r="A87" s="605"/>
      <c r="B87" s="608"/>
      <c r="C87" s="332" t="s">
        <v>315</v>
      </c>
      <c r="D87" s="332"/>
      <c r="E87" s="611"/>
      <c r="F87" s="123"/>
      <c r="G87" s="611"/>
      <c r="H87" s="123"/>
      <c r="I87" s="123"/>
      <c r="J87" s="125"/>
    </row>
    <row r="88" spans="1:10" hidden="1" x14ac:dyDescent="0.3">
      <c r="A88" s="117"/>
      <c r="B88" s="43"/>
      <c r="C88" s="43"/>
      <c r="D88" s="38"/>
      <c r="E88" s="131"/>
      <c r="G88" s="131"/>
      <c r="I88" s="2" t="s">
        <v>125</v>
      </c>
      <c r="J88" s="118">
        <v>2</v>
      </c>
    </row>
    <row r="89" spans="1:10" s="62" customFormat="1" ht="16.2" hidden="1" thickBot="1" x14ac:dyDescent="0.35">
      <c r="A89" s="52"/>
      <c r="B89" s="52"/>
      <c r="C89" s="33"/>
      <c r="D89" s="33"/>
      <c r="E89" s="132"/>
      <c r="F89" s="30"/>
      <c r="G89" s="132"/>
      <c r="H89" s="30"/>
      <c r="I89" s="2" t="s">
        <v>126</v>
      </c>
      <c r="J89" s="119">
        <v>3</v>
      </c>
    </row>
    <row r="90" spans="1:10" s="62" customFormat="1" ht="16.2" hidden="1" thickBot="1" x14ac:dyDescent="0.35">
      <c r="A90" s="52"/>
      <c r="B90" s="52"/>
      <c r="C90" s="33"/>
      <c r="D90" s="33"/>
      <c r="E90" s="132"/>
      <c r="F90" s="30"/>
      <c r="G90" s="132"/>
      <c r="H90" s="30"/>
      <c r="I90" s="2"/>
      <c r="J90" s="133"/>
    </row>
    <row r="91" spans="1:10" s="63" customFormat="1" hidden="1" x14ac:dyDescent="0.3">
      <c r="A91" s="603" t="s">
        <v>715</v>
      </c>
      <c r="B91" s="606" t="s">
        <v>308</v>
      </c>
      <c r="C91" s="330" t="s">
        <v>318</v>
      </c>
      <c r="D91" s="330"/>
      <c r="E91" s="609"/>
      <c r="F91" s="129"/>
      <c r="G91" s="609"/>
      <c r="H91" s="129"/>
      <c r="I91" s="129">
        <f>J93-I92</f>
        <v>0</v>
      </c>
      <c r="J91" s="130"/>
    </row>
    <row r="92" spans="1:10" s="63" customFormat="1" hidden="1" x14ac:dyDescent="0.3">
      <c r="A92" s="604"/>
      <c r="B92" s="607"/>
      <c r="C92" s="331" t="s">
        <v>328</v>
      </c>
      <c r="D92" s="331"/>
      <c r="E92" s="610"/>
      <c r="F92" s="122"/>
      <c r="G92" s="610"/>
      <c r="H92" s="122"/>
      <c r="I92" s="122"/>
      <c r="J92" s="124"/>
    </row>
    <row r="93" spans="1:10" s="63" customFormat="1" ht="16.2" hidden="1" thickBot="1" x14ac:dyDescent="0.35">
      <c r="A93" s="605"/>
      <c r="B93" s="608"/>
      <c r="C93" s="332" t="s">
        <v>716</v>
      </c>
      <c r="D93" s="332"/>
      <c r="E93" s="611"/>
      <c r="F93" s="123"/>
      <c r="G93" s="611"/>
      <c r="H93" s="123"/>
      <c r="I93" s="123"/>
      <c r="J93" s="125"/>
    </row>
    <row r="94" spans="1:10" ht="16.2" thickBot="1" x14ac:dyDescent="0.35">
      <c r="A94" s="612" t="s">
        <v>124</v>
      </c>
      <c r="B94" s="612"/>
      <c r="C94" s="612"/>
      <c r="D94" s="612"/>
      <c r="E94" s="612"/>
      <c r="F94" s="126">
        <f>SUM(F31:F93)</f>
        <v>0</v>
      </c>
      <c r="G94" s="121" t="s">
        <v>24</v>
      </c>
      <c r="H94" s="127">
        <f>SUM(H31:H93)</f>
        <v>0</v>
      </c>
      <c r="I94" s="127">
        <f>SUM(I31:I93)</f>
        <v>4006762.72</v>
      </c>
      <c r="J94" s="128">
        <f>SUM(J31:J93)-J51-J52-J88-J89</f>
        <v>4006762.72</v>
      </c>
    </row>
    <row r="95" spans="1:10" s="62" customFormat="1" ht="10.8" thickBo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4"/>
    </row>
    <row r="96" spans="1:10" x14ac:dyDescent="0.3">
      <c r="A96" s="363" t="s">
        <v>143</v>
      </c>
      <c r="B96" s="416"/>
      <c r="C96" s="424" t="s">
        <v>810</v>
      </c>
      <c r="D96" s="38"/>
      <c r="I96" s="2" t="s">
        <v>125</v>
      </c>
      <c r="J96" s="118">
        <v>1</v>
      </c>
    </row>
    <row r="97" spans="1:10" s="62" customFormat="1" ht="16.2" thickBot="1" x14ac:dyDescent="0.35">
      <c r="A97" s="423" t="s">
        <v>147</v>
      </c>
      <c r="B97" s="422"/>
      <c r="C97" s="419" t="s">
        <v>97</v>
      </c>
      <c r="D97" s="33"/>
      <c r="E97" s="30"/>
      <c r="F97" s="30"/>
      <c r="G97" s="30"/>
      <c r="H97" s="30"/>
      <c r="I97" s="2" t="s">
        <v>126</v>
      </c>
      <c r="J97" s="119">
        <v>1</v>
      </c>
    </row>
    <row r="98" spans="1:10" ht="16.2" thickBot="1" x14ac:dyDescent="0.35">
      <c r="A98" s="363" t="s">
        <v>146</v>
      </c>
      <c r="B98" s="418"/>
      <c r="C98" s="424" t="s">
        <v>811</v>
      </c>
      <c r="D98" s="38"/>
      <c r="J98" s="26"/>
    </row>
    <row r="99" spans="1:10" x14ac:dyDescent="0.3">
      <c r="A99" s="363" t="s">
        <v>148</v>
      </c>
      <c r="B99" s="418"/>
      <c r="C99" s="419" t="s">
        <v>97</v>
      </c>
      <c r="D99" s="38"/>
      <c r="E99" s="613" t="s">
        <v>127</v>
      </c>
      <c r="F99" s="614"/>
      <c r="G99" s="614"/>
      <c r="H99" s="614"/>
      <c r="I99" s="614"/>
      <c r="J99" s="615"/>
    </row>
    <row r="100" spans="1:10" x14ac:dyDescent="0.3">
      <c r="A100" s="363"/>
      <c r="B100" s="416"/>
      <c r="C100" s="416"/>
      <c r="D100" s="38"/>
      <c r="E100" s="598" t="s">
        <v>128</v>
      </c>
      <c r="F100" s="599"/>
      <c r="G100" s="599"/>
      <c r="H100" s="599"/>
      <c r="I100" s="599"/>
      <c r="J100" s="600"/>
    </row>
    <row r="101" spans="1:10" x14ac:dyDescent="0.3">
      <c r="A101" s="363" t="s">
        <v>914</v>
      </c>
      <c r="B101" s="418"/>
      <c r="C101" s="418"/>
      <c r="D101" s="38"/>
      <c r="E101" s="48" t="s">
        <v>129</v>
      </c>
      <c r="F101" s="38"/>
      <c r="G101" s="326"/>
      <c r="H101" s="333"/>
      <c r="I101" s="333"/>
      <c r="J101" s="49"/>
    </row>
    <row r="102" spans="1:10" x14ac:dyDescent="0.3">
      <c r="A102" s="363" t="s">
        <v>909</v>
      </c>
      <c r="B102" s="425"/>
      <c r="C102" s="425"/>
      <c r="D102" s="26"/>
      <c r="E102" s="48" t="s">
        <v>130</v>
      </c>
      <c r="F102" s="46"/>
      <c r="G102" s="601" t="s">
        <v>142</v>
      </c>
      <c r="H102" s="601"/>
      <c r="I102" s="601"/>
      <c r="J102" s="602"/>
    </row>
    <row r="103" spans="1:10" x14ac:dyDescent="0.3">
      <c r="A103" s="44" t="str">
        <f>E7</f>
        <v>« 06 » апреля 2018 года</v>
      </c>
      <c r="B103" s="1"/>
      <c r="D103" s="47"/>
      <c r="E103" s="50" t="s">
        <v>136</v>
      </c>
      <c r="F103" s="38"/>
      <c r="G103" s="329"/>
      <c r="H103" s="38"/>
      <c r="I103" s="26"/>
      <c r="J103" s="51"/>
    </row>
    <row r="104" spans="1:10" s="62" customFormat="1" ht="10.8" thickBot="1" x14ac:dyDescent="0.25">
      <c r="A104" s="30"/>
      <c r="B104" s="30"/>
      <c r="C104" s="30"/>
      <c r="D104" s="30"/>
      <c r="E104" s="35"/>
      <c r="F104" s="36"/>
      <c r="G104" s="36"/>
      <c r="H104" s="36"/>
      <c r="I104" s="37"/>
      <c r="J104" s="53"/>
    </row>
    <row r="105" spans="1:10" x14ac:dyDescent="0.3">
      <c r="J105" s="26"/>
    </row>
  </sheetData>
  <mergeCells count="74">
    <mergeCell ref="B18:H18"/>
    <mergeCell ref="E1:J1"/>
    <mergeCell ref="E2:J2"/>
    <mergeCell ref="E3:J4"/>
    <mergeCell ref="E5:F5"/>
    <mergeCell ref="H5:J5"/>
    <mergeCell ref="E6:F6"/>
    <mergeCell ref="H6:J6"/>
    <mergeCell ref="A10:I11"/>
    <mergeCell ref="B14:H15"/>
    <mergeCell ref="J14:J15"/>
    <mergeCell ref="J16:J17"/>
    <mergeCell ref="C17:D17"/>
    <mergeCell ref="J21:J22"/>
    <mergeCell ref="B22:H22"/>
    <mergeCell ref="I26:J26"/>
    <mergeCell ref="A28:A29"/>
    <mergeCell ref="B28:B29"/>
    <mergeCell ref="C28:C29"/>
    <mergeCell ref="D28:D29"/>
    <mergeCell ref="E28:F28"/>
    <mergeCell ref="G28:H28"/>
    <mergeCell ref="I28:J28"/>
    <mergeCell ref="A48:A50"/>
    <mergeCell ref="B48:B50"/>
    <mergeCell ref="E48:E50"/>
    <mergeCell ref="G48:G50"/>
    <mergeCell ref="B20:H20"/>
    <mergeCell ref="A31:A47"/>
    <mergeCell ref="B31:B47"/>
    <mergeCell ref="E31:E47"/>
    <mergeCell ref="G31:G47"/>
    <mergeCell ref="A54:A56"/>
    <mergeCell ref="B54:B56"/>
    <mergeCell ref="E54:E56"/>
    <mergeCell ref="G54:G56"/>
    <mergeCell ref="A57:A64"/>
    <mergeCell ref="B57:B64"/>
    <mergeCell ref="E57:E64"/>
    <mergeCell ref="G57:G64"/>
    <mergeCell ref="A65:A67"/>
    <mergeCell ref="B65:B67"/>
    <mergeCell ref="E65:E67"/>
    <mergeCell ref="G65:G67"/>
    <mergeCell ref="A68:A70"/>
    <mergeCell ref="B68:B70"/>
    <mergeCell ref="E68:E70"/>
    <mergeCell ref="G68:G70"/>
    <mergeCell ref="E85:E87"/>
    <mergeCell ref="G85:G87"/>
    <mergeCell ref="A71:A76"/>
    <mergeCell ref="B71:B76"/>
    <mergeCell ref="E71:E76"/>
    <mergeCell ref="G71:G76"/>
    <mergeCell ref="A77:A79"/>
    <mergeCell ref="B77:B79"/>
    <mergeCell ref="E77:E79"/>
    <mergeCell ref="G77:G79"/>
    <mergeCell ref="A80:A81"/>
    <mergeCell ref="B80:B81"/>
    <mergeCell ref="E100:J100"/>
    <mergeCell ref="G102:J102"/>
    <mergeCell ref="A91:A93"/>
    <mergeCell ref="B91:B93"/>
    <mergeCell ref="E91:E93"/>
    <mergeCell ref="G91:G93"/>
    <mergeCell ref="A94:E94"/>
    <mergeCell ref="E99:J99"/>
    <mergeCell ref="A82:A84"/>
    <mergeCell ref="B82:B84"/>
    <mergeCell ref="E82:E84"/>
    <mergeCell ref="G82:G84"/>
    <mergeCell ref="A85:A87"/>
    <mergeCell ref="B85:B87"/>
  </mergeCells>
  <printOptions horizontalCentered="1"/>
  <pageMargins left="0.39370078740157483" right="0.39370078740157483" top="0.59055118110236227" bottom="0.19685039370078741" header="0.31496062992125984" footer="0.31496062992125984"/>
  <pageSetup paperSize="9" scale="53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0" zoomScale="80" zoomScaleNormal="80" workbookViewId="0">
      <selection activeCell="F27" sqref="F27"/>
    </sheetView>
  </sheetViews>
  <sheetFormatPr defaultColWidth="9.109375" defaultRowHeight="15.6" x14ac:dyDescent="0.3"/>
  <cols>
    <col min="1" max="1" width="50.33203125" style="57" customWidth="1"/>
    <col min="2" max="2" width="17.5546875" style="57" customWidth="1"/>
    <col min="3" max="3" width="12.6640625" style="187" customWidth="1"/>
    <col min="4" max="4" width="15.6640625" style="57" customWidth="1"/>
    <col min="5" max="5" width="26.88671875" style="57" customWidth="1"/>
    <col min="6" max="16384" width="9.109375" style="57"/>
  </cols>
  <sheetData>
    <row r="1" spans="1:5" x14ac:dyDescent="0.3">
      <c r="E1" s="67" t="s">
        <v>378</v>
      </c>
    </row>
    <row r="2" spans="1:5" x14ac:dyDescent="0.3">
      <c r="E2" s="67"/>
    </row>
    <row r="3" spans="1:5" s="69" customFormat="1" ht="17.399999999999999" x14ac:dyDescent="0.3">
      <c r="A3" s="637" t="s">
        <v>390</v>
      </c>
      <c r="B3" s="637"/>
      <c r="C3" s="637"/>
      <c r="D3" s="637"/>
      <c r="E3" s="637"/>
    </row>
    <row r="4" spans="1:5" s="69" customFormat="1" ht="17.399999999999999" x14ac:dyDescent="0.3">
      <c r="A4" s="637"/>
      <c r="B4" s="637"/>
      <c r="C4" s="637"/>
      <c r="D4" s="637"/>
      <c r="E4" s="637"/>
    </row>
    <row r="5" spans="1:5" s="69" customFormat="1" ht="17.399999999999999" x14ac:dyDescent="0.3">
      <c r="A5" s="637"/>
      <c r="B5" s="637"/>
      <c r="C5" s="637"/>
      <c r="D5" s="637"/>
      <c r="E5" s="637"/>
    </row>
    <row r="6" spans="1:5" s="69" customFormat="1" ht="17.399999999999999" x14ac:dyDescent="0.3">
      <c r="A6" s="638" t="str">
        <f>'Заголовочная часть'!B14</f>
        <v>Областное государственное бюджетное профессиональное образовательное учреждение "Костромской автодорожный колледж"</v>
      </c>
      <c r="B6" s="638"/>
      <c r="C6" s="638"/>
      <c r="D6" s="638"/>
      <c r="E6" s="638"/>
    </row>
    <row r="7" spans="1:5" s="69" customFormat="1" ht="17.399999999999999" x14ac:dyDescent="0.3">
      <c r="A7" s="638"/>
      <c r="B7" s="638"/>
      <c r="C7" s="638"/>
      <c r="D7" s="638"/>
      <c r="E7" s="638"/>
    </row>
    <row r="8" spans="1:5" s="69" customFormat="1" ht="17.399999999999999" x14ac:dyDescent="0.3">
      <c r="A8" s="505" t="str">
        <f>'Заголовочная часть'!A10</f>
        <v>на 2018 финансовый год и плановый период 2019 и 2020 годов</v>
      </c>
      <c r="B8" s="505"/>
      <c r="C8" s="505"/>
      <c r="D8" s="505"/>
      <c r="E8" s="505"/>
    </row>
    <row r="10" spans="1:5" s="58" customFormat="1" ht="140.4" x14ac:dyDescent="0.3">
      <c r="A10" s="166" t="s">
        <v>2</v>
      </c>
      <c r="B10" s="191" t="s">
        <v>379</v>
      </c>
      <c r="C10" s="192" t="s">
        <v>389</v>
      </c>
      <c r="D10" s="191" t="s">
        <v>375</v>
      </c>
      <c r="E10" s="166" t="s">
        <v>373</v>
      </c>
    </row>
    <row r="11" spans="1:5" x14ac:dyDescent="0.3">
      <c r="A11" s="64">
        <v>1</v>
      </c>
      <c r="B11" s="64">
        <v>2</v>
      </c>
      <c r="C11" s="172">
        <v>3</v>
      </c>
      <c r="D11" s="64">
        <v>4</v>
      </c>
      <c r="E11" s="64">
        <v>5</v>
      </c>
    </row>
    <row r="12" spans="1:5" s="58" customFormat="1" ht="31.2" x14ac:dyDescent="0.3">
      <c r="A12" s="185" t="s">
        <v>376</v>
      </c>
      <c r="B12" s="101"/>
      <c r="C12" s="188"/>
      <c r="D12" s="186">
        <f>D14+D15</f>
        <v>34</v>
      </c>
      <c r="E12" s="185"/>
    </row>
    <row r="13" spans="1:5" x14ac:dyDescent="0.3">
      <c r="A13" s="179" t="s">
        <v>6</v>
      </c>
      <c r="B13" s="98"/>
      <c r="C13" s="182"/>
      <c r="D13" s="181"/>
      <c r="E13" s="178"/>
    </row>
    <row r="14" spans="1:5" x14ac:dyDescent="0.3">
      <c r="A14" s="180" t="s">
        <v>386</v>
      </c>
      <c r="B14" s="98"/>
      <c r="C14" s="182"/>
      <c r="D14" s="181">
        <v>25</v>
      </c>
      <c r="E14" s="178"/>
    </row>
    <row r="15" spans="1:5" x14ac:dyDescent="0.3">
      <c r="A15" s="180" t="s">
        <v>387</v>
      </c>
      <c r="B15" s="98"/>
      <c r="C15" s="182"/>
      <c r="D15" s="181">
        <v>9</v>
      </c>
      <c r="E15" s="178"/>
    </row>
    <row r="16" spans="1:5" x14ac:dyDescent="0.3">
      <c r="A16" s="180" t="s">
        <v>388</v>
      </c>
      <c r="B16" s="98"/>
      <c r="C16" s="182"/>
      <c r="D16" s="181">
        <v>14</v>
      </c>
      <c r="E16" s="178"/>
    </row>
    <row r="17" spans="1:5" ht="31.2" x14ac:dyDescent="0.3">
      <c r="A17" s="177" t="s">
        <v>717</v>
      </c>
      <c r="B17" s="98">
        <v>163.5</v>
      </c>
      <c r="C17" s="189" t="s">
        <v>719</v>
      </c>
      <c r="D17" s="98">
        <v>396487.5</v>
      </c>
      <c r="E17" s="339" t="s">
        <v>890</v>
      </c>
    </row>
    <row r="18" spans="1:5" ht="31.2" x14ac:dyDescent="0.3">
      <c r="A18" s="178" t="s">
        <v>721</v>
      </c>
      <c r="B18" s="98">
        <v>14000</v>
      </c>
      <c r="C18" s="189" t="s">
        <v>718</v>
      </c>
      <c r="D18" s="98">
        <f>B18*D14</f>
        <v>350000</v>
      </c>
      <c r="E18" s="182"/>
    </row>
    <row r="19" spans="1:5" ht="46.8" x14ac:dyDescent="0.3">
      <c r="A19" s="178" t="s">
        <v>374</v>
      </c>
      <c r="B19" s="98">
        <v>138.15</v>
      </c>
      <c r="C19" s="189" t="s">
        <v>720</v>
      </c>
      <c r="D19" s="98">
        <f>B19*D14*12</f>
        <v>41445</v>
      </c>
      <c r="E19" s="182"/>
    </row>
    <row r="20" spans="1:5" ht="31.2" x14ac:dyDescent="0.3">
      <c r="A20" s="178" t="s">
        <v>380</v>
      </c>
      <c r="B20" s="98">
        <v>138.15</v>
      </c>
      <c r="C20" s="189" t="s">
        <v>720</v>
      </c>
      <c r="D20" s="98">
        <f>B20*D14*12</f>
        <v>41445</v>
      </c>
      <c r="E20" s="182"/>
    </row>
    <row r="21" spans="1:5" ht="31.2" x14ac:dyDescent="0.3">
      <c r="A21" s="178" t="s">
        <v>381</v>
      </c>
      <c r="B21" s="98">
        <f>730*3</f>
        <v>2190</v>
      </c>
      <c r="C21" s="189" t="s">
        <v>718</v>
      </c>
      <c r="D21" s="98">
        <f>B21*D12</f>
        <v>74460</v>
      </c>
      <c r="E21" s="182"/>
    </row>
    <row r="22" spans="1:5" ht="46.8" x14ac:dyDescent="0.3">
      <c r="A22" s="177" t="s">
        <v>722</v>
      </c>
      <c r="B22" s="98">
        <v>30000</v>
      </c>
      <c r="C22" s="189" t="s">
        <v>382</v>
      </c>
      <c r="D22" s="98">
        <f>B22*D16</f>
        <v>420000</v>
      </c>
      <c r="E22" s="182"/>
    </row>
    <row r="23" spans="1:5" ht="31.2" x14ac:dyDescent="0.3">
      <c r="A23" s="178" t="s">
        <v>723</v>
      </c>
      <c r="B23" s="98">
        <v>500</v>
      </c>
      <c r="C23" s="189" t="s">
        <v>382</v>
      </c>
      <c r="D23" s="98">
        <f>B23*D16</f>
        <v>7000</v>
      </c>
      <c r="E23" s="182"/>
    </row>
    <row r="24" spans="1:5" ht="31.2" x14ac:dyDescent="0.3">
      <c r="A24" s="177" t="s">
        <v>383</v>
      </c>
      <c r="B24" s="98"/>
      <c r="C24" s="189" t="s">
        <v>384</v>
      </c>
      <c r="D24" s="98">
        <v>25000</v>
      </c>
      <c r="E24" s="182"/>
    </row>
    <row r="25" spans="1:5" x14ac:dyDescent="0.3">
      <c r="A25" s="183" t="s">
        <v>385</v>
      </c>
      <c r="B25" s="98"/>
      <c r="C25" s="189"/>
      <c r="D25" s="98">
        <f>SUM(D17:D24)</f>
        <v>1355837.5</v>
      </c>
      <c r="E25" s="182"/>
    </row>
    <row r="28" spans="1:5" x14ac:dyDescent="0.3">
      <c r="A28" s="140" t="s">
        <v>175</v>
      </c>
      <c r="C28" s="173"/>
      <c r="E28" s="429" t="s">
        <v>810</v>
      </c>
    </row>
    <row r="29" spans="1:5" x14ac:dyDescent="0.3">
      <c r="A29" s="140"/>
      <c r="C29" s="171" t="s">
        <v>96</v>
      </c>
      <c r="E29" s="431" t="s">
        <v>97</v>
      </c>
    </row>
    <row r="30" spans="1:5" x14ac:dyDescent="0.3">
      <c r="A30" s="190" t="s">
        <v>154</v>
      </c>
      <c r="C30" s="175"/>
      <c r="E30" s="432"/>
    </row>
    <row r="31" spans="1:5" x14ac:dyDescent="0.3">
      <c r="A31" s="140" t="s">
        <v>296</v>
      </c>
      <c r="C31" s="173"/>
      <c r="E31" s="429" t="s">
        <v>811</v>
      </c>
    </row>
    <row r="32" spans="1:5" x14ac:dyDescent="0.3">
      <c r="A32" s="140"/>
      <c r="C32" s="171" t="s">
        <v>96</v>
      </c>
      <c r="E32" s="431" t="s">
        <v>97</v>
      </c>
    </row>
    <row r="33" spans="1:5" x14ac:dyDescent="0.3">
      <c r="A33" s="140"/>
      <c r="C33" s="175"/>
      <c r="E33" s="432"/>
    </row>
    <row r="34" spans="1:5" x14ac:dyDescent="0.3">
      <c r="A34" s="140" t="s">
        <v>297</v>
      </c>
      <c r="C34" s="173"/>
      <c r="E34" s="429" t="s">
        <v>811</v>
      </c>
    </row>
    <row r="35" spans="1:5" x14ac:dyDescent="0.3">
      <c r="A35" s="163"/>
      <c r="C35" s="171" t="s">
        <v>96</v>
      </c>
      <c r="E35" s="431" t="s">
        <v>97</v>
      </c>
    </row>
  </sheetData>
  <mergeCells count="3">
    <mergeCell ref="A3:E5"/>
    <mergeCell ref="A6:E7"/>
    <mergeCell ref="A8:E8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80" zoomScaleNormal="80" workbookViewId="0">
      <selection activeCell="G33" sqref="G33"/>
    </sheetView>
  </sheetViews>
  <sheetFormatPr defaultColWidth="9.109375" defaultRowHeight="15.6" x14ac:dyDescent="0.3"/>
  <cols>
    <col min="1" max="1" width="4.6640625" style="1" customWidth="1"/>
    <col min="2" max="2" width="50.6640625" style="1" customWidth="1"/>
    <col min="3" max="3" width="14.6640625" style="1" customWidth="1"/>
    <col min="4" max="4" width="14.6640625" style="363" customWidth="1"/>
    <col min="5" max="5" width="14.6640625" style="1" customWidth="1"/>
    <col min="6" max="6" width="15.6640625" style="1" customWidth="1"/>
    <col min="7" max="8" width="15.6640625" style="57" customWidth="1"/>
    <col min="9" max="16384" width="9.109375" style="57"/>
  </cols>
  <sheetData>
    <row r="1" spans="1:8" x14ac:dyDescent="0.3">
      <c r="A1" s="204"/>
      <c r="B1" s="204"/>
      <c r="C1" s="204"/>
      <c r="D1" s="490"/>
      <c r="E1" s="204"/>
      <c r="F1" s="57"/>
      <c r="H1" s="205" t="s">
        <v>398</v>
      </c>
    </row>
    <row r="2" spans="1:8" s="59" customFormat="1" ht="18" x14ac:dyDescent="0.35">
      <c r="A2" s="206"/>
      <c r="B2" s="206"/>
      <c r="C2" s="206"/>
      <c r="D2" s="491"/>
      <c r="E2" s="206"/>
      <c r="F2" s="206"/>
    </row>
    <row r="3" spans="1:8" s="59" customFormat="1" ht="18" x14ac:dyDescent="0.35">
      <c r="A3" s="518" t="s">
        <v>399</v>
      </c>
      <c r="B3" s="518"/>
      <c r="C3" s="518"/>
      <c r="D3" s="518"/>
      <c r="E3" s="518"/>
      <c r="F3" s="518"/>
      <c r="G3" s="518"/>
      <c r="H3" s="518"/>
    </row>
    <row r="4" spans="1:8" s="59" customFormat="1" ht="18" x14ac:dyDescent="0.35">
      <c r="A4" s="632" t="str">
        <f>'Заголовочная часть'!B14</f>
        <v>Областное государственное бюджетное профессиональное образовательное учреждение "Костромской автодорожный колледж"</v>
      </c>
      <c r="B4" s="632"/>
      <c r="C4" s="632"/>
      <c r="D4" s="632"/>
      <c r="E4" s="632"/>
      <c r="F4" s="632"/>
      <c r="G4" s="632"/>
      <c r="H4" s="632"/>
    </row>
    <row r="5" spans="1:8" s="59" customFormat="1" ht="18" x14ac:dyDescent="0.35">
      <c r="A5" s="632"/>
      <c r="B5" s="632"/>
      <c r="C5" s="632"/>
      <c r="D5" s="632"/>
      <c r="E5" s="632"/>
      <c r="F5" s="632"/>
      <c r="G5" s="632"/>
      <c r="H5" s="632"/>
    </row>
    <row r="6" spans="1:8" s="59" customFormat="1" ht="18" x14ac:dyDescent="0.35">
      <c r="A6" s="518" t="str">
        <f>'Заголовочная часть'!A10</f>
        <v>на 2018 финансовый год и плановый период 2019 и 2020 годов</v>
      </c>
      <c r="B6" s="518"/>
      <c r="C6" s="518"/>
      <c r="D6" s="518"/>
      <c r="E6" s="518"/>
      <c r="F6" s="518"/>
      <c r="G6" s="518"/>
      <c r="H6" s="518"/>
    </row>
    <row r="7" spans="1:8" s="195" customFormat="1" x14ac:dyDescent="0.3">
      <c r="A7" s="301"/>
      <c r="B7" s="301"/>
      <c r="C7" s="301"/>
      <c r="D7" s="485"/>
      <c r="E7" s="301"/>
      <c r="F7" s="301"/>
      <c r="G7" s="301"/>
      <c r="H7" s="301"/>
    </row>
    <row r="8" spans="1:8" s="195" customFormat="1" ht="17.399999999999999" x14ac:dyDescent="0.3">
      <c r="A8" s="518" t="s">
        <v>395</v>
      </c>
      <c r="B8" s="518"/>
      <c r="C8" s="518"/>
      <c r="D8" s="518"/>
      <c r="E8" s="518"/>
      <c r="F8" s="518"/>
      <c r="G8" s="518"/>
      <c r="H8" s="518"/>
    </row>
    <row r="9" spans="1:8" s="167" customFormat="1" x14ac:dyDescent="0.3">
      <c r="A9" s="1"/>
      <c r="B9" s="1"/>
      <c r="C9" s="1"/>
      <c r="D9" s="363"/>
      <c r="E9" s="1"/>
      <c r="F9" s="1"/>
      <c r="G9" s="57"/>
      <c r="H9" s="57"/>
    </row>
    <row r="10" spans="1:8" s="167" customFormat="1" x14ac:dyDescent="0.3">
      <c r="A10" s="641" t="s">
        <v>530</v>
      </c>
      <c r="B10" s="641"/>
      <c r="C10" s="641"/>
      <c r="D10" s="641"/>
      <c r="E10" s="641"/>
      <c r="F10" s="641"/>
      <c r="G10" s="641"/>
      <c r="H10" s="641"/>
    </row>
    <row r="11" spans="1:8" s="167" customFormat="1" x14ac:dyDescent="0.3">
      <c r="A11" s="1"/>
      <c r="B11" s="1"/>
      <c r="C11" s="1"/>
      <c r="D11" s="363"/>
      <c r="E11" s="1"/>
      <c r="F11" s="1"/>
      <c r="G11" s="57"/>
      <c r="H11" s="57"/>
    </row>
    <row r="12" spans="1:8" s="167" customFormat="1" x14ac:dyDescent="0.3">
      <c r="A12" s="522" t="s">
        <v>1</v>
      </c>
      <c r="B12" s="522" t="s">
        <v>397</v>
      </c>
      <c r="C12" s="522" t="s">
        <v>403</v>
      </c>
      <c r="D12" s="640" t="s">
        <v>404</v>
      </c>
      <c r="E12" s="522" t="s">
        <v>405</v>
      </c>
      <c r="F12" s="522" t="s">
        <v>406</v>
      </c>
      <c r="G12" s="639" t="s">
        <v>396</v>
      </c>
      <c r="H12" s="639"/>
    </row>
    <row r="13" spans="1:8" s="167" customFormat="1" ht="78" x14ac:dyDescent="0.3">
      <c r="A13" s="522"/>
      <c r="B13" s="522"/>
      <c r="C13" s="522"/>
      <c r="D13" s="640"/>
      <c r="E13" s="522"/>
      <c r="F13" s="522"/>
      <c r="G13" s="300" t="s">
        <v>401</v>
      </c>
      <c r="H13" s="300" t="s">
        <v>402</v>
      </c>
    </row>
    <row r="14" spans="1:8" s="167" customFormat="1" x14ac:dyDescent="0.3">
      <c r="A14" s="293">
        <v>1</v>
      </c>
      <c r="B14" s="293">
        <v>2</v>
      </c>
      <c r="C14" s="293">
        <v>3</v>
      </c>
      <c r="D14" s="484">
        <v>4</v>
      </c>
      <c r="E14" s="293">
        <v>5</v>
      </c>
      <c r="F14" s="293">
        <v>6</v>
      </c>
      <c r="G14" s="293">
        <v>7</v>
      </c>
      <c r="H14" s="293">
        <v>8</v>
      </c>
    </row>
    <row r="15" spans="1:8" s="167" customFormat="1" x14ac:dyDescent="0.3">
      <c r="A15" s="14">
        <v>1</v>
      </c>
      <c r="B15" s="177" t="s">
        <v>408</v>
      </c>
      <c r="C15" s="184">
        <v>1</v>
      </c>
      <c r="D15" s="492">
        <v>1</v>
      </c>
      <c r="E15" s="184">
        <v>1</v>
      </c>
      <c r="F15" s="292">
        <v>594800</v>
      </c>
      <c r="G15" s="203">
        <v>594800</v>
      </c>
      <c r="H15" s="203"/>
    </row>
    <row r="16" spans="1:8" s="167" customFormat="1" ht="93.6" x14ac:dyDescent="0.3">
      <c r="A16" s="14">
        <v>2</v>
      </c>
      <c r="B16" s="177" t="s">
        <v>409</v>
      </c>
      <c r="C16" s="184">
        <v>4</v>
      </c>
      <c r="D16" s="492">
        <v>4</v>
      </c>
      <c r="E16" s="184">
        <v>4</v>
      </c>
      <c r="F16" s="292">
        <v>1759900</v>
      </c>
      <c r="G16" s="203">
        <v>1480320</v>
      </c>
      <c r="H16" s="203">
        <v>279580</v>
      </c>
    </row>
    <row r="17" spans="1:9" s="167" customFormat="1" ht="46.8" x14ac:dyDescent="0.3">
      <c r="A17" s="14">
        <v>3</v>
      </c>
      <c r="B17" s="177" t="s">
        <v>410</v>
      </c>
      <c r="C17" s="184"/>
      <c r="D17" s="492"/>
      <c r="E17" s="184"/>
      <c r="F17" s="292"/>
      <c r="G17" s="203"/>
      <c r="H17" s="203"/>
    </row>
    <row r="18" spans="1:9" s="167" customFormat="1" x14ac:dyDescent="0.3">
      <c r="A18" s="14" t="s">
        <v>422</v>
      </c>
      <c r="B18" s="210" t="s">
        <v>411</v>
      </c>
      <c r="C18" s="184"/>
      <c r="D18" s="492"/>
      <c r="E18" s="184"/>
      <c r="F18" s="292"/>
      <c r="G18" s="203"/>
      <c r="H18" s="203"/>
    </row>
    <row r="19" spans="1:9" s="167" customFormat="1" ht="46.8" x14ac:dyDescent="0.3">
      <c r="A19" s="14" t="s">
        <v>423</v>
      </c>
      <c r="B19" s="210" t="s">
        <v>412</v>
      </c>
      <c r="C19" s="184"/>
      <c r="D19" s="492"/>
      <c r="E19" s="184"/>
      <c r="F19" s="292"/>
      <c r="G19" s="203"/>
      <c r="H19" s="203"/>
    </row>
    <row r="20" spans="1:9" s="167" customFormat="1" ht="78" x14ac:dyDescent="0.3">
      <c r="A20" s="14" t="s">
        <v>424</v>
      </c>
      <c r="B20" s="177" t="s">
        <v>413</v>
      </c>
      <c r="C20" s="184">
        <v>89</v>
      </c>
      <c r="D20" s="492">
        <v>85</v>
      </c>
      <c r="E20" s="184">
        <v>68</v>
      </c>
      <c r="F20" s="292">
        <v>19064020</v>
      </c>
      <c r="G20" s="203">
        <v>14584560</v>
      </c>
      <c r="H20" s="203">
        <v>2538028</v>
      </c>
    </row>
    <row r="21" spans="1:9" s="167" customFormat="1" x14ac:dyDescent="0.3">
      <c r="A21" s="14" t="s">
        <v>425</v>
      </c>
      <c r="B21" s="210" t="s">
        <v>414</v>
      </c>
      <c r="C21" s="184">
        <v>36</v>
      </c>
      <c r="D21" s="492">
        <v>33</v>
      </c>
      <c r="E21" s="184">
        <v>32</v>
      </c>
      <c r="F21" s="292">
        <f>G21+H21</f>
        <v>7486080</v>
      </c>
      <c r="G21" s="203">
        <v>6596052</v>
      </c>
      <c r="H21" s="203">
        <v>890028</v>
      </c>
    </row>
    <row r="22" spans="1:9" s="167" customFormat="1" x14ac:dyDescent="0.3">
      <c r="A22" s="14" t="s">
        <v>426</v>
      </c>
      <c r="B22" s="210" t="s">
        <v>407</v>
      </c>
      <c r="C22" s="184">
        <v>38</v>
      </c>
      <c r="D22" s="492">
        <v>38</v>
      </c>
      <c r="E22" s="184">
        <v>23</v>
      </c>
      <c r="F22" s="292">
        <f>G22+H22</f>
        <v>6149280</v>
      </c>
      <c r="G22" s="203">
        <v>5501280</v>
      </c>
      <c r="H22" s="203">
        <v>648000</v>
      </c>
      <c r="I22" s="478"/>
    </row>
    <row r="23" spans="1:9" s="167" customFormat="1" ht="93.6" x14ac:dyDescent="0.3">
      <c r="A23" s="14" t="s">
        <v>427</v>
      </c>
      <c r="B23" s="177" t="s">
        <v>415</v>
      </c>
      <c r="C23" s="184"/>
      <c r="D23" s="492"/>
      <c r="E23" s="184"/>
      <c r="F23" s="292"/>
      <c r="G23" s="203"/>
      <c r="H23" s="203"/>
    </row>
    <row r="24" spans="1:9" s="167" customFormat="1" x14ac:dyDescent="0.3">
      <c r="A24" s="14" t="s">
        <v>428</v>
      </c>
      <c r="B24" s="210" t="s">
        <v>414</v>
      </c>
      <c r="C24" s="184"/>
      <c r="D24" s="492"/>
      <c r="E24" s="184"/>
      <c r="F24" s="292"/>
      <c r="G24" s="203"/>
      <c r="H24" s="203"/>
    </row>
    <row r="25" spans="1:9" s="193" customFormat="1" ht="93.6" x14ac:dyDescent="0.3">
      <c r="A25" s="14" t="s">
        <v>429</v>
      </c>
      <c r="B25" s="177" t="s">
        <v>416</v>
      </c>
      <c r="C25" s="184"/>
      <c r="D25" s="492"/>
      <c r="E25" s="184"/>
      <c r="F25" s="292"/>
      <c r="G25" s="203"/>
      <c r="H25" s="203"/>
    </row>
    <row r="26" spans="1:9" s="167" customFormat="1" ht="31.2" x14ac:dyDescent="0.3">
      <c r="A26" s="14" t="s">
        <v>430</v>
      </c>
      <c r="B26" s="177" t="s">
        <v>417</v>
      </c>
      <c r="C26" s="184"/>
      <c r="D26" s="492"/>
      <c r="E26" s="184"/>
      <c r="F26" s="292"/>
      <c r="G26" s="203"/>
      <c r="H26" s="203"/>
    </row>
    <row r="27" spans="1:9" s="167" customFormat="1" ht="46.8" x14ac:dyDescent="0.3">
      <c r="A27" s="14" t="s">
        <v>431</v>
      </c>
      <c r="B27" s="177" t="s">
        <v>418</v>
      </c>
      <c r="C27" s="184"/>
      <c r="D27" s="492"/>
      <c r="E27" s="184"/>
      <c r="F27" s="292"/>
      <c r="G27" s="203"/>
      <c r="H27" s="203"/>
    </row>
    <row r="28" spans="1:9" s="167" customFormat="1" ht="46.8" x14ac:dyDescent="0.3">
      <c r="A28" s="14" t="s">
        <v>432</v>
      </c>
      <c r="B28" s="177" t="s">
        <v>421</v>
      </c>
      <c r="C28" s="184"/>
      <c r="D28" s="492"/>
      <c r="E28" s="184"/>
      <c r="F28" s="292"/>
      <c r="G28" s="203"/>
      <c r="H28" s="203"/>
    </row>
    <row r="29" spans="1:9" x14ac:dyDescent="0.3">
      <c r="A29" s="14" t="s">
        <v>433</v>
      </c>
      <c r="B29" s="177" t="s">
        <v>419</v>
      </c>
      <c r="C29" s="184">
        <v>1</v>
      </c>
      <c r="D29" s="492">
        <v>1</v>
      </c>
      <c r="E29" s="184">
        <v>1</v>
      </c>
      <c r="F29" s="315">
        <f>G29+H29</f>
        <v>113868</v>
      </c>
      <c r="G29" s="203">
        <v>113868</v>
      </c>
      <c r="H29" s="203"/>
    </row>
    <row r="30" spans="1:9" x14ac:dyDescent="0.3">
      <c r="A30" s="14" t="s">
        <v>434</v>
      </c>
      <c r="B30" s="177" t="s">
        <v>420</v>
      </c>
      <c r="C30" s="184">
        <v>115</v>
      </c>
      <c r="D30" s="492">
        <v>115</v>
      </c>
      <c r="E30" s="184">
        <v>91</v>
      </c>
      <c r="F30" s="292">
        <f>G30+H30</f>
        <v>13350144</v>
      </c>
      <c r="G30" s="203">
        <v>11406521</v>
      </c>
      <c r="H30" s="203">
        <v>1943623</v>
      </c>
    </row>
    <row r="31" spans="1:9" x14ac:dyDescent="0.3">
      <c r="A31" s="642" t="s">
        <v>385</v>
      </c>
      <c r="B31" s="642"/>
      <c r="C31" s="207">
        <f>C15+C16+C17+C20+C23+C25+C26+C27+C28+C29+C30</f>
        <v>210</v>
      </c>
      <c r="D31" s="493">
        <f t="shared" ref="D31:E31" si="0">D15+D16+D17+D20+D23+D25+D26+D27+D28+D29+D30</f>
        <v>206</v>
      </c>
      <c r="E31" s="207">
        <f t="shared" si="0"/>
        <v>165</v>
      </c>
      <c r="F31" s="208">
        <f>F15+F16+F17+F20+F23+F25+F26+F27+F28+F29+F30</f>
        <v>34882732</v>
      </c>
      <c r="G31" s="470">
        <f t="shared" ref="G31:H31" si="1">G15+G16+G17+G20+G23+G25+G26+G27+G28+G29+G30</f>
        <v>28180069</v>
      </c>
      <c r="H31" s="470">
        <f t="shared" si="1"/>
        <v>4761231</v>
      </c>
      <c r="I31" s="362"/>
    </row>
    <row r="32" spans="1:9" ht="16.2" x14ac:dyDescent="0.35">
      <c r="A32" s="14"/>
      <c r="B32" s="158" t="s">
        <v>435</v>
      </c>
      <c r="C32" s="184"/>
      <c r="D32" s="492"/>
      <c r="E32" s="184"/>
      <c r="F32" s="292"/>
      <c r="G32" s="203"/>
      <c r="H32" s="203"/>
    </row>
    <row r="33" spans="1:8" ht="46.8" x14ac:dyDescent="0.3">
      <c r="A33" s="14"/>
      <c r="B33" s="177" t="s">
        <v>437</v>
      </c>
      <c r="C33" s="184">
        <f t="shared" ref="C33:E33" si="2">C17+C20+C23+C25</f>
        <v>89</v>
      </c>
      <c r="D33" s="492">
        <f t="shared" si="2"/>
        <v>85</v>
      </c>
      <c r="E33" s="184">
        <f t="shared" si="2"/>
        <v>68</v>
      </c>
      <c r="F33" s="292">
        <f>F17+F20+F23+F25</f>
        <v>19064020</v>
      </c>
      <c r="G33" s="292">
        <f t="shared" ref="G33:H33" si="3">G17+G20+G23+G25</f>
        <v>14584560</v>
      </c>
      <c r="H33" s="292">
        <f t="shared" si="3"/>
        <v>2538028</v>
      </c>
    </row>
    <row r="34" spans="1:8" ht="62.4" x14ac:dyDescent="0.3">
      <c r="A34" s="14"/>
      <c r="B34" s="177" t="s">
        <v>436</v>
      </c>
      <c r="C34" s="184">
        <f t="shared" ref="C34:E34" si="4">C31-C33</f>
        <v>121</v>
      </c>
      <c r="D34" s="492">
        <f t="shared" si="4"/>
        <v>121</v>
      </c>
      <c r="E34" s="184">
        <f t="shared" si="4"/>
        <v>97</v>
      </c>
      <c r="F34" s="292">
        <f>F31-F33</f>
        <v>15818712</v>
      </c>
      <c r="G34" s="292">
        <f t="shared" ref="G34:H34" si="5">G31-G33</f>
        <v>13595509</v>
      </c>
      <c r="H34" s="292">
        <f t="shared" si="5"/>
        <v>2223203</v>
      </c>
    </row>
    <row r="36" spans="1:8" x14ac:dyDescent="0.3">
      <c r="B36" s="211" t="s">
        <v>175</v>
      </c>
      <c r="D36" s="627"/>
      <c r="E36" s="627"/>
      <c r="G36" s="627" t="s">
        <v>810</v>
      </c>
      <c r="H36" s="627"/>
    </row>
    <row r="37" spans="1:8" x14ac:dyDescent="0.3">
      <c r="B37" s="110"/>
      <c r="C37" s="55"/>
      <c r="D37" s="630" t="s">
        <v>96</v>
      </c>
      <c r="E37" s="630"/>
      <c r="G37" s="630" t="s">
        <v>97</v>
      </c>
      <c r="H37" s="630"/>
    </row>
    <row r="38" spans="1:8" x14ac:dyDescent="0.3">
      <c r="B38" s="108" t="s">
        <v>154</v>
      </c>
      <c r="C38" s="55"/>
      <c r="D38" s="482"/>
      <c r="G38" s="1"/>
      <c r="H38" s="296"/>
    </row>
    <row r="39" spans="1:8" x14ac:dyDescent="0.3">
      <c r="B39" s="211" t="s">
        <v>296</v>
      </c>
      <c r="D39" s="627"/>
      <c r="E39" s="627"/>
      <c r="G39" s="627" t="s">
        <v>811</v>
      </c>
      <c r="H39" s="627"/>
    </row>
    <row r="40" spans="1:8" x14ac:dyDescent="0.3">
      <c r="B40" s="109"/>
      <c r="D40" s="630" t="s">
        <v>96</v>
      </c>
      <c r="E40" s="630"/>
      <c r="G40" s="630" t="s">
        <v>97</v>
      </c>
      <c r="H40" s="630"/>
    </row>
    <row r="41" spans="1:8" x14ac:dyDescent="0.3">
      <c r="B41" s="110"/>
      <c r="G41" s="1"/>
      <c r="H41" s="1"/>
    </row>
    <row r="42" spans="1:8" x14ac:dyDescent="0.3">
      <c r="B42" s="211" t="s">
        <v>297</v>
      </c>
      <c r="D42" s="627"/>
      <c r="E42" s="627"/>
      <c r="G42" s="627" t="s">
        <v>811</v>
      </c>
      <c r="H42" s="627"/>
    </row>
    <row r="43" spans="1:8" x14ac:dyDescent="0.3">
      <c r="D43" s="630" t="s">
        <v>96</v>
      </c>
      <c r="E43" s="630"/>
      <c r="G43" s="630" t="s">
        <v>97</v>
      </c>
      <c r="H43" s="630"/>
    </row>
  </sheetData>
  <mergeCells count="25">
    <mergeCell ref="A31:B31"/>
    <mergeCell ref="D43:E43"/>
    <mergeCell ref="G43:H43"/>
    <mergeCell ref="D39:E39"/>
    <mergeCell ref="G39:H39"/>
    <mergeCell ref="D40:E40"/>
    <mergeCell ref="G40:H40"/>
    <mergeCell ref="D42:E42"/>
    <mergeCell ref="G42:H42"/>
    <mergeCell ref="D36:E36"/>
    <mergeCell ref="G36:H36"/>
    <mergeCell ref="D37:E37"/>
    <mergeCell ref="G37:H37"/>
    <mergeCell ref="A3:H3"/>
    <mergeCell ref="A4:H5"/>
    <mergeCell ref="A6:H6"/>
    <mergeCell ref="A8:H8"/>
    <mergeCell ref="A10:H10"/>
    <mergeCell ref="F12:F13"/>
    <mergeCell ref="G12:H12"/>
    <mergeCell ref="A12:A13"/>
    <mergeCell ref="B12:B13"/>
    <mergeCell ref="C12:C13"/>
    <mergeCell ref="D12:D13"/>
    <mergeCell ref="E12:E13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5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="80" zoomScaleNormal="80" workbookViewId="0">
      <selection activeCell="B16" sqref="B16"/>
    </sheetView>
  </sheetViews>
  <sheetFormatPr defaultColWidth="9.109375" defaultRowHeight="15.6" x14ac:dyDescent="0.3"/>
  <cols>
    <col min="1" max="1" width="45.6640625" style="212" customWidth="1"/>
    <col min="2" max="3" width="7.5546875" style="213" customWidth="1"/>
    <col min="4" max="4" width="17.5546875" style="213" customWidth="1"/>
    <col min="5" max="7" width="7.6640625" style="213" customWidth="1"/>
    <col min="8" max="8" width="17.5546875" style="213" customWidth="1"/>
    <col min="9" max="12" width="7.5546875" style="213" customWidth="1"/>
    <col min="13" max="13" width="17.6640625" style="213" customWidth="1"/>
    <col min="14" max="16" width="7.6640625" style="213" customWidth="1"/>
    <col min="17" max="17" width="17.6640625" style="213" customWidth="1"/>
    <col min="18" max="19" width="7.6640625" style="213" customWidth="1"/>
    <col min="20" max="16384" width="9.109375" style="57"/>
  </cols>
  <sheetData>
    <row r="1" spans="1:19" x14ac:dyDescent="0.3">
      <c r="A1" s="653" t="s">
        <v>461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</row>
    <row r="2" spans="1:19" s="59" customFormat="1" ht="18" x14ac:dyDescent="0.35">
      <c r="A2" s="653"/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</row>
    <row r="3" spans="1:19" s="59" customFormat="1" ht="18" x14ac:dyDescent="0.35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x14ac:dyDescent="0.3">
      <c r="A4" s="654" t="s">
        <v>467</v>
      </c>
      <c r="B4" s="657" t="str">
        <f>'Заголовочная часть'!B14</f>
        <v>Областное государственное бюджетное профессиональное образовательное учреждение "Костромской автодорожный колледж"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9"/>
    </row>
    <row r="5" spans="1:19" x14ac:dyDescent="0.3">
      <c r="A5" s="655"/>
      <c r="B5" s="660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2"/>
    </row>
    <row r="6" spans="1:19" x14ac:dyDescent="0.3">
      <c r="A6" s="655"/>
      <c r="B6" s="663" t="s">
        <v>438</v>
      </c>
      <c r="C6" s="663"/>
      <c r="D6" s="663"/>
      <c r="E6" s="663"/>
      <c r="F6" s="663"/>
      <c r="G6" s="663"/>
      <c r="H6" s="663"/>
      <c r="I6" s="663"/>
      <c r="J6" s="663"/>
      <c r="K6" s="663" t="s">
        <v>439</v>
      </c>
      <c r="L6" s="663"/>
      <c r="M6" s="663"/>
      <c r="N6" s="663"/>
      <c r="O6" s="663"/>
      <c r="P6" s="663"/>
      <c r="Q6" s="663"/>
      <c r="R6" s="663"/>
      <c r="S6" s="663"/>
    </row>
    <row r="7" spans="1:19" x14ac:dyDescent="0.3">
      <c r="A7" s="655"/>
      <c r="B7" s="668" t="s">
        <v>462</v>
      </c>
      <c r="C7" s="668"/>
      <c r="D7" s="668"/>
      <c r="E7" s="668"/>
      <c r="F7" s="668"/>
      <c r="G7" s="668"/>
      <c r="H7" s="668"/>
      <c r="I7" s="668"/>
      <c r="J7" s="668"/>
      <c r="K7" s="668" t="s">
        <v>462</v>
      </c>
      <c r="L7" s="668"/>
      <c r="M7" s="668"/>
      <c r="N7" s="668"/>
      <c r="O7" s="668"/>
      <c r="P7" s="668"/>
      <c r="Q7" s="668"/>
      <c r="R7" s="668"/>
      <c r="S7" s="668"/>
    </row>
    <row r="8" spans="1:19" x14ac:dyDescent="0.3">
      <c r="A8" s="655"/>
      <c r="B8" s="664" t="s">
        <v>124</v>
      </c>
      <c r="C8" s="664" t="s">
        <v>440</v>
      </c>
      <c r="D8" s="664"/>
      <c r="E8" s="664"/>
      <c r="F8" s="664"/>
      <c r="G8" s="665" t="s">
        <v>441</v>
      </c>
      <c r="H8" s="666"/>
      <c r="I8" s="666"/>
      <c r="J8" s="667"/>
      <c r="K8" s="664" t="s">
        <v>124</v>
      </c>
      <c r="L8" s="664" t="s">
        <v>440</v>
      </c>
      <c r="M8" s="664"/>
      <c r="N8" s="664"/>
      <c r="O8" s="664"/>
      <c r="P8" s="665" t="s">
        <v>441</v>
      </c>
      <c r="Q8" s="666"/>
      <c r="R8" s="666"/>
      <c r="S8" s="667"/>
    </row>
    <row r="9" spans="1:19" ht="140.4" x14ac:dyDescent="0.3">
      <c r="A9" s="656"/>
      <c r="B9" s="664"/>
      <c r="C9" s="214" t="s">
        <v>442</v>
      </c>
      <c r="D9" s="214" t="s">
        <v>443</v>
      </c>
      <c r="E9" s="214" t="s">
        <v>444</v>
      </c>
      <c r="F9" s="214" t="s">
        <v>445</v>
      </c>
      <c r="G9" s="214" t="s">
        <v>442</v>
      </c>
      <c r="H9" s="214" t="s">
        <v>443</v>
      </c>
      <c r="I9" s="214" t="s">
        <v>444</v>
      </c>
      <c r="J9" s="214" t="s">
        <v>445</v>
      </c>
      <c r="K9" s="664"/>
      <c r="L9" s="214" t="s">
        <v>442</v>
      </c>
      <c r="M9" s="214" t="s">
        <v>443</v>
      </c>
      <c r="N9" s="214" t="s">
        <v>444</v>
      </c>
      <c r="O9" s="214" t="s">
        <v>445</v>
      </c>
      <c r="P9" s="214" t="s">
        <v>442</v>
      </c>
      <c r="Q9" s="214" t="s">
        <v>443</v>
      </c>
      <c r="R9" s="214" t="s">
        <v>444</v>
      </c>
      <c r="S9" s="214" t="s">
        <v>445</v>
      </c>
    </row>
    <row r="10" spans="1:19" ht="32.4" x14ac:dyDescent="0.35">
      <c r="A10" s="304" t="s">
        <v>463</v>
      </c>
      <c r="B10" s="219">
        <f t="shared" ref="B10:K10" si="0">SUM(B11:B16)</f>
        <v>289</v>
      </c>
      <c r="C10" s="219">
        <f t="shared" si="0"/>
        <v>279</v>
      </c>
      <c r="D10" s="219">
        <f t="shared" si="0"/>
        <v>9</v>
      </c>
      <c r="E10" s="219">
        <f t="shared" si="0"/>
        <v>1</v>
      </c>
      <c r="F10" s="219">
        <f t="shared" si="0"/>
        <v>0</v>
      </c>
      <c r="G10" s="219">
        <f t="shared" si="0"/>
        <v>0</v>
      </c>
      <c r="H10" s="219">
        <f t="shared" si="0"/>
        <v>0</v>
      </c>
      <c r="I10" s="219">
        <f t="shared" si="0"/>
        <v>0</v>
      </c>
      <c r="J10" s="219">
        <f t="shared" si="0"/>
        <v>0</v>
      </c>
      <c r="K10" s="219">
        <f t="shared" si="0"/>
        <v>74</v>
      </c>
      <c r="L10" s="219">
        <f>SUM(L11:L15)</f>
        <v>65</v>
      </c>
      <c r="M10" s="219">
        <f t="shared" ref="M10:S10" si="1">SUM(M11:M15)</f>
        <v>8</v>
      </c>
      <c r="N10" s="219">
        <f t="shared" si="1"/>
        <v>1</v>
      </c>
      <c r="O10" s="219">
        <f t="shared" si="1"/>
        <v>0</v>
      </c>
      <c r="P10" s="219">
        <f t="shared" si="1"/>
        <v>0</v>
      </c>
      <c r="Q10" s="219">
        <f t="shared" si="1"/>
        <v>0</v>
      </c>
      <c r="R10" s="219">
        <f t="shared" si="1"/>
        <v>0</v>
      </c>
      <c r="S10" s="219">
        <f t="shared" si="1"/>
        <v>0</v>
      </c>
    </row>
    <row r="11" spans="1:19" s="220" customFormat="1" ht="31.8" x14ac:dyDescent="0.35">
      <c r="A11" s="215" t="s">
        <v>798</v>
      </c>
      <c r="B11" s="218">
        <f t="shared" ref="B11:B23" si="2">SUM(C11:J11)</f>
        <v>60</v>
      </c>
      <c r="C11" s="217">
        <f>22+35</f>
        <v>57</v>
      </c>
      <c r="D11" s="217">
        <v>3</v>
      </c>
      <c r="E11" s="217"/>
      <c r="F11" s="217"/>
      <c r="G11" s="217"/>
      <c r="H11" s="217"/>
      <c r="I11" s="217"/>
      <c r="J11" s="217"/>
      <c r="K11" s="218">
        <f t="shared" ref="K11:K23" si="3">SUM(L11:S11)</f>
        <v>0</v>
      </c>
      <c r="L11" s="217"/>
      <c r="M11" s="217"/>
      <c r="N11" s="217"/>
      <c r="O11" s="217"/>
      <c r="P11" s="217"/>
      <c r="Q11" s="217"/>
      <c r="R11" s="217"/>
      <c r="S11" s="217"/>
    </row>
    <row r="12" spans="1:19" s="167" customFormat="1" x14ac:dyDescent="0.3">
      <c r="A12" s="215" t="s">
        <v>799</v>
      </c>
      <c r="B12" s="218">
        <f t="shared" si="2"/>
        <v>57</v>
      </c>
      <c r="C12" s="217">
        <v>55</v>
      </c>
      <c r="D12" s="217">
        <v>2</v>
      </c>
      <c r="E12" s="217"/>
      <c r="F12" s="217"/>
      <c r="G12" s="217"/>
      <c r="H12" s="217"/>
      <c r="I12" s="217"/>
      <c r="J12" s="217"/>
      <c r="K12" s="218">
        <f t="shared" si="3"/>
        <v>0</v>
      </c>
      <c r="L12" s="217"/>
      <c r="M12" s="217"/>
      <c r="N12" s="217"/>
      <c r="O12" s="217"/>
      <c r="P12" s="217"/>
      <c r="Q12" s="217"/>
      <c r="R12" s="217"/>
      <c r="S12" s="217"/>
    </row>
    <row r="13" spans="1:19" s="167" customFormat="1" x14ac:dyDescent="0.3">
      <c r="A13" s="215" t="s">
        <v>800</v>
      </c>
      <c r="B13" s="218">
        <f t="shared" si="2"/>
        <v>110</v>
      </c>
      <c r="C13" s="217">
        <f>49+59</f>
        <v>108</v>
      </c>
      <c r="D13" s="217">
        <v>2</v>
      </c>
      <c r="E13" s="217"/>
      <c r="F13" s="217"/>
      <c r="G13" s="217"/>
      <c r="H13" s="217"/>
      <c r="I13" s="217"/>
      <c r="J13" s="217"/>
      <c r="K13" s="218">
        <f t="shared" si="3"/>
        <v>0</v>
      </c>
      <c r="L13" s="217"/>
      <c r="M13" s="217"/>
      <c r="N13" s="217"/>
      <c r="O13" s="217"/>
      <c r="P13" s="217"/>
      <c r="Q13" s="217"/>
      <c r="R13" s="217"/>
      <c r="S13" s="217"/>
    </row>
    <row r="14" spans="1:19" s="167" customFormat="1" ht="31.2" x14ac:dyDescent="0.3">
      <c r="A14" s="215" t="s">
        <v>801</v>
      </c>
      <c r="B14" s="218">
        <f t="shared" si="2"/>
        <v>37</v>
      </c>
      <c r="C14" s="305">
        <v>36</v>
      </c>
      <c r="D14" s="305">
        <v>1</v>
      </c>
      <c r="E14" s="217"/>
      <c r="F14" s="217"/>
      <c r="G14" s="217"/>
      <c r="H14" s="217"/>
      <c r="I14" s="217"/>
      <c r="J14" s="217"/>
      <c r="K14" s="218">
        <f t="shared" si="3"/>
        <v>35</v>
      </c>
      <c r="L14" s="217">
        <v>33</v>
      </c>
      <c r="M14" s="217">
        <v>2</v>
      </c>
      <c r="N14" s="217"/>
      <c r="O14" s="217"/>
      <c r="P14" s="217"/>
      <c r="Q14" s="217"/>
      <c r="R14" s="217"/>
      <c r="S14" s="217"/>
    </row>
    <row r="15" spans="1:19" s="167" customFormat="1" x14ac:dyDescent="0.3">
      <c r="A15" s="215" t="s">
        <v>802</v>
      </c>
      <c r="B15" s="218">
        <f t="shared" si="2"/>
        <v>19</v>
      </c>
      <c r="C15" s="305">
        <v>17</v>
      </c>
      <c r="D15" s="305">
        <v>1</v>
      </c>
      <c r="E15" s="305">
        <v>1</v>
      </c>
      <c r="F15" s="217"/>
      <c r="G15" s="217"/>
      <c r="H15" s="217"/>
      <c r="I15" s="217"/>
      <c r="J15" s="217"/>
      <c r="K15" s="218">
        <f t="shared" si="3"/>
        <v>39</v>
      </c>
      <c r="L15" s="217">
        <v>32</v>
      </c>
      <c r="M15" s="217">
        <v>6</v>
      </c>
      <c r="N15" s="217">
        <v>1</v>
      </c>
      <c r="O15" s="217"/>
      <c r="P15" s="217"/>
      <c r="Q15" s="217"/>
      <c r="R15" s="217"/>
      <c r="S15" s="217"/>
    </row>
    <row r="16" spans="1:19" s="167" customFormat="1" x14ac:dyDescent="0.3">
      <c r="A16" s="215" t="s">
        <v>803</v>
      </c>
      <c r="B16" s="218">
        <f t="shared" si="2"/>
        <v>6</v>
      </c>
      <c r="C16" s="305">
        <v>6</v>
      </c>
      <c r="D16" s="305"/>
      <c r="E16" s="305"/>
      <c r="F16" s="305"/>
      <c r="G16" s="305"/>
      <c r="H16" s="305"/>
      <c r="I16" s="305"/>
      <c r="J16" s="305"/>
      <c r="K16" s="218">
        <f t="shared" si="3"/>
        <v>0</v>
      </c>
      <c r="L16" s="217"/>
      <c r="M16" s="217"/>
      <c r="N16" s="217"/>
      <c r="O16" s="217"/>
      <c r="P16" s="217"/>
      <c r="Q16" s="217"/>
      <c r="R16" s="217"/>
      <c r="S16" s="217"/>
    </row>
    <row r="17" spans="1:19" s="167" customFormat="1" ht="16.2" x14ac:dyDescent="0.35">
      <c r="A17" s="304" t="s">
        <v>464</v>
      </c>
      <c r="B17" s="218">
        <f t="shared" si="2"/>
        <v>28</v>
      </c>
      <c r="C17" s="219">
        <f>SUM(C18:C19)</f>
        <v>0</v>
      </c>
      <c r="D17" s="219">
        <f>SUM(D18:D19)</f>
        <v>0</v>
      </c>
      <c r="E17" s="219">
        <f>SUM(E18:E19)</f>
        <v>2</v>
      </c>
      <c r="F17" s="219">
        <v>13</v>
      </c>
      <c r="G17" s="219">
        <f t="shared" ref="G17:S17" si="4">SUM(G18:G19)</f>
        <v>13</v>
      </c>
      <c r="H17" s="219">
        <f t="shared" si="4"/>
        <v>0</v>
      </c>
      <c r="I17" s="219">
        <f t="shared" si="4"/>
        <v>0</v>
      </c>
      <c r="J17" s="219">
        <f t="shared" si="4"/>
        <v>0</v>
      </c>
      <c r="K17" s="218">
        <f t="shared" si="4"/>
        <v>27</v>
      </c>
      <c r="L17" s="219">
        <f t="shared" si="4"/>
        <v>0</v>
      </c>
      <c r="M17" s="219">
        <f t="shared" si="4"/>
        <v>2</v>
      </c>
      <c r="N17" s="219">
        <f t="shared" si="4"/>
        <v>1</v>
      </c>
      <c r="O17" s="219">
        <f t="shared" si="4"/>
        <v>11</v>
      </c>
      <c r="P17" s="219">
        <f t="shared" si="4"/>
        <v>13</v>
      </c>
      <c r="Q17" s="219">
        <f t="shared" si="4"/>
        <v>0</v>
      </c>
      <c r="R17" s="219">
        <f t="shared" si="4"/>
        <v>0</v>
      </c>
      <c r="S17" s="219">
        <f t="shared" si="4"/>
        <v>0</v>
      </c>
    </row>
    <row r="18" spans="1:19" s="167" customFormat="1" ht="31.2" x14ac:dyDescent="0.3">
      <c r="A18" s="215" t="s">
        <v>804</v>
      </c>
      <c r="B18" s="218">
        <f t="shared" si="2"/>
        <v>15</v>
      </c>
      <c r="C18" s="305"/>
      <c r="D18" s="305"/>
      <c r="E18" s="305">
        <v>2</v>
      </c>
      <c r="F18" s="305">
        <v>13</v>
      </c>
      <c r="G18" s="305"/>
      <c r="H18" s="305"/>
      <c r="I18" s="305"/>
      <c r="J18" s="305"/>
      <c r="K18" s="218">
        <f t="shared" si="3"/>
        <v>14</v>
      </c>
      <c r="L18" s="217"/>
      <c r="M18" s="217">
        <v>2</v>
      </c>
      <c r="N18" s="217">
        <v>1</v>
      </c>
      <c r="O18" s="217">
        <v>11</v>
      </c>
      <c r="P18" s="217"/>
      <c r="Q18" s="217"/>
      <c r="R18" s="217"/>
      <c r="S18" s="217"/>
    </row>
    <row r="19" spans="1:19" s="167" customFormat="1" x14ac:dyDescent="0.3">
      <c r="A19" s="215" t="s">
        <v>805</v>
      </c>
      <c r="B19" s="218">
        <f t="shared" si="2"/>
        <v>13</v>
      </c>
      <c r="C19" s="305"/>
      <c r="D19" s="305"/>
      <c r="E19" s="305"/>
      <c r="F19" s="305"/>
      <c r="G19" s="305">
        <v>13</v>
      </c>
      <c r="H19" s="217"/>
      <c r="I19" s="217"/>
      <c r="J19" s="217"/>
      <c r="K19" s="218">
        <f t="shared" si="3"/>
        <v>13</v>
      </c>
      <c r="L19" s="217"/>
      <c r="M19" s="217"/>
      <c r="N19" s="217"/>
      <c r="O19" s="217"/>
      <c r="P19" s="217">
        <v>13</v>
      </c>
      <c r="Q19" s="217"/>
      <c r="R19" s="217"/>
      <c r="S19" s="217"/>
    </row>
    <row r="20" spans="1:19" s="167" customFormat="1" ht="32.4" x14ac:dyDescent="0.35">
      <c r="A20" s="304" t="s">
        <v>465</v>
      </c>
      <c r="B20" s="218">
        <f t="shared" ref="B20:J20" si="5">SUM(B21:B23)</f>
        <v>257</v>
      </c>
      <c r="C20" s="219">
        <f t="shared" si="5"/>
        <v>173</v>
      </c>
      <c r="D20" s="219">
        <f t="shared" si="5"/>
        <v>3</v>
      </c>
      <c r="E20" s="219">
        <f t="shared" si="5"/>
        <v>0</v>
      </c>
      <c r="F20" s="219">
        <f t="shared" si="5"/>
        <v>0</v>
      </c>
      <c r="G20" s="219">
        <f t="shared" si="5"/>
        <v>81</v>
      </c>
      <c r="H20" s="219">
        <f t="shared" si="5"/>
        <v>0</v>
      </c>
      <c r="I20" s="219">
        <f t="shared" si="5"/>
        <v>0</v>
      </c>
      <c r="J20" s="219">
        <f t="shared" si="5"/>
        <v>0</v>
      </c>
      <c r="K20" s="218">
        <f t="shared" si="3"/>
        <v>17</v>
      </c>
      <c r="L20" s="219">
        <f t="shared" ref="L20:S20" si="6">SUM(L21:L23)</f>
        <v>0</v>
      </c>
      <c r="M20" s="219">
        <f t="shared" si="6"/>
        <v>0</v>
      </c>
      <c r="N20" s="219">
        <f t="shared" si="6"/>
        <v>0</v>
      </c>
      <c r="O20" s="219">
        <f t="shared" si="6"/>
        <v>0</v>
      </c>
      <c r="P20" s="219">
        <f t="shared" si="6"/>
        <v>17</v>
      </c>
      <c r="Q20" s="219">
        <f t="shared" si="6"/>
        <v>0</v>
      </c>
      <c r="R20" s="219">
        <f t="shared" si="6"/>
        <v>0</v>
      </c>
      <c r="S20" s="219">
        <f t="shared" si="6"/>
        <v>0</v>
      </c>
    </row>
    <row r="21" spans="1:19" s="167" customFormat="1" ht="46.8" x14ac:dyDescent="0.3">
      <c r="A21" s="215" t="s">
        <v>806</v>
      </c>
      <c r="B21" s="218">
        <f t="shared" si="2"/>
        <v>242</v>
      </c>
      <c r="C21" s="217">
        <v>173</v>
      </c>
      <c r="D21" s="217">
        <v>3</v>
      </c>
      <c r="E21" s="217"/>
      <c r="F21" s="217"/>
      <c r="G21" s="217">
        <f>43+2+21</f>
        <v>66</v>
      </c>
      <c r="H21" s="217"/>
      <c r="I21" s="217"/>
      <c r="J21" s="217"/>
      <c r="K21" s="218">
        <f t="shared" si="3"/>
        <v>0</v>
      </c>
      <c r="L21" s="217"/>
      <c r="M21" s="217"/>
      <c r="N21" s="217"/>
      <c r="O21" s="217"/>
      <c r="P21" s="217"/>
      <c r="Q21" s="217"/>
      <c r="R21" s="217"/>
      <c r="S21" s="217"/>
    </row>
    <row r="22" spans="1:19" s="167" customFormat="1" x14ac:dyDescent="0.3">
      <c r="A22" s="215" t="s">
        <v>807</v>
      </c>
      <c r="B22" s="218">
        <f t="shared" si="2"/>
        <v>0</v>
      </c>
      <c r="C22" s="217"/>
      <c r="D22" s="217"/>
      <c r="E22" s="217"/>
      <c r="F22" s="217"/>
      <c r="G22" s="217"/>
      <c r="H22" s="217"/>
      <c r="I22" s="217"/>
      <c r="J22" s="217"/>
      <c r="K22" s="218">
        <f t="shared" si="3"/>
        <v>17</v>
      </c>
      <c r="L22" s="217"/>
      <c r="M22" s="217"/>
      <c r="N22" s="217"/>
      <c r="O22" s="217"/>
      <c r="P22" s="217">
        <v>17</v>
      </c>
      <c r="Q22" s="217"/>
      <c r="R22" s="217"/>
      <c r="S22" s="217"/>
    </row>
    <row r="23" spans="1:19" s="167" customFormat="1" x14ac:dyDescent="0.3">
      <c r="A23" s="306" t="s">
        <v>808</v>
      </c>
      <c r="B23" s="218">
        <f t="shared" si="2"/>
        <v>15</v>
      </c>
      <c r="C23" s="217"/>
      <c r="D23" s="217"/>
      <c r="E23" s="217"/>
      <c r="F23" s="217"/>
      <c r="G23" s="305">
        <v>15</v>
      </c>
      <c r="H23" s="217"/>
      <c r="I23" s="217"/>
      <c r="J23" s="217"/>
      <c r="K23" s="218">
        <f t="shared" si="3"/>
        <v>0</v>
      </c>
      <c r="L23" s="217"/>
      <c r="M23" s="217"/>
      <c r="N23" s="217"/>
      <c r="O23" s="217"/>
      <c r="P23" s="217"/>
      <c r="Q23" s="217"/>
      <c r="R23" s="217"/>
      <c r="S23" s="217"/>
    </row>
    <row r="24" spans="1:19" x14ac:dyDescent="0.3">
      <c r="A24" s="221" t="s">
        <v>385</v>
      </c>
      <c r="B24" s="218">
        <f>SUM(C24:J24)</f>
        <v>574</v>
      </c>
      <c r="C24" s="218">
        <f t="shared" ref="C24:J24" si="7">C20+C17+C10</f>
        <v>452</v>
      </c>
      <c r="D24" s="218">
        <f t="shared" si="7"/>
        <v>12</v>
      </c>
      <c r="E24" s="218">
        <f t="shared" si="7"/>
        <v>3</v>
      </c>
      <c r="F24" s="218">
        <f t="shared" si="7"/>
        <v>13</v>
      </c>
      <c r="G24" s="218">
        <f t="shared" si="7"/>
        <v>94</v>
      </c>
      <c r="H24" s="218">
        <f t="shared" si="7"/>
        <v>0</v>
      </c>
      <c r="I24" s="218">
        <f t="shared" si="7"/>
        <v>0</v>
      </c>
      <c r="J24" s="218">
        <f t="shared" si="7"/>
        <v>0</v>
      </c>
      <c r="K24" s="218">
        <f>L24+M24+N24+O24+P24</f>
        <v>118</v>
      </c>
      <c r="L24" s="218">
        <f t="shared" ref="L24:S24" si="8">L10+L17+L20</f>
        <v>65</v>
      </c>
      <c r="M24" s="218">
        <f t="shared" si="8"/>
        <v>10</v>
      </c>
      <c r="N24" s="218">
        <f t="shared" si="8"/>
        <v>2</v>
      </c>
      <c r="O24" s="218">
        <f t="shared" si="8"/>
        <v>11</v>
      </c>
      <c r="P24" s="218">
        <f t="shared" si="8"/>
        <v>30</v>
      </c>
      <c r="Q24" s="218">
        <f t="shared" si="8"/>
        <v>0</v>
      </c>
      <c r="R24" s="218">
        <f t="shared" si="8"/>
        <v>0</v>
      </c>
      <c r="S24" s="218">
        <f t="shared" si="8"/>
        <v>0</v>
      </c>
    </row>
    <row r="25" spans="1:19" x14ac:dyDescent="0.3">
      <c r="A25" s="342" t="s">
        <v>899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</row>
    <row r="26" spans="1:19" x14ac:dyDescent="0.3">
      <c r="A26" s="143"/>
      <c r="B26" s="669" t="s">
        <v>446</v>
      </c>
      <c r="C26" s="669"/>
      <c r="D26" s="669"/>
      <c r="E26" s="669"/>
      <c r="F26" s="216"/>
      <c r="G26" s="216"/>
      <c r="H26" s="216"/>
      <c r="I26" s="216"/>
      <c r="J26" s="216"/>
      <c r="K26" s="216"/>
      <c r="L26" s="216"/>
      <c r="M26" s="57"/>
      <c r="N26" s="216"/>
      <c r="O26" s="216"/>
      <c r="P26" s="216"/>
      <c r="Q26" s="216"/>
      <c r="R26" s="216"/>
      <c r="S26" s="216"/>
    </row>
    <row r="27" spans="1:19" x14ac:dyDescent="0.3">
      <c r="A27" s="143"/>
      <c r="B27" s="650" t="s">
        <v>447</v>
      </c>
      <c r="C27" s="650"/>
      <c r="D27" s="650"/>
      <c r="E27" s="650"/>
      <c r="F27" s="650"/>
      <c r="G27" s="650"/>
      <c r="H27" s="650"/>
      <c r="I27" s="651" t="s">
        <v>448</v>
      </c>
      <c r="J27" s="651"/>
      <c r="K27" s="650" t="s">
        <v>447</v>
      </c>
      <c r="L27" s="650"/>
      <c r="M27" s="650"/>
      <c r="N27" s="650"/>
      <c r="O27" s="650"/>
      <c r="P27" s="650"/>
      <c r="Q27" s="650"/>
      <c r="R27" s="651" t="s">
        <v>448</v>
      </c>
      <c r="S27" s="651"/>
    </row>
    <row r="28" spans="1:19" x14ac:dyDescent="0.3">
      <c r="A28" s="143"/>
      <c r="B28" s="645" t="s">
        <v>449</v>
      </c>
      <c r="C28" s="645"/>
      <c r="D28" s="645"/>
      <c r="E28" s="645"/>
      <c r="F28" s="645"/>
      <c r="G28" s="645"/>
      <c r="H28" s="645"/>
      <c r="I28" s="646" t="s">
        <v>809</v>
      </c>
      <c r="J28" s="646"/>
      <c r="K28" s="647" t="s">
        <v>454</v>
      </c>
      <c r="L28" s="648"/>
      <c r="M28" s="648"/>
      <c r="N28" s="648"/>
      <c r="O28" s="648"/>
      <c r="P28" s="648"/>
      <c r="Q28" s="649"/>
      <c r="R28" s="643" t="s">
        <v>809</v>
      </c>
      <c r="S28" s="644"/>
    </row>
    <row r="29" spans="1:19" x14ac:dyDescent="0.3">
      <c r="A29" s="143"/>
      <c r="B29" s="645" t="s">
        <v>450</v>
      </c>
      <c r="C29" s="645"/>
      <c r="D29" s="645"/>
      <c r="E29" s="645"/>
      <c r="F29" s="645"/>
      <c r="G29" s="645"/>
      <c r="H29" s="645"/>
      <c r="I29" s="646">
        <v>1</v>
      </c>
      <c r="J29" s="646"/>
      <c r="K29" s="647" t="s">
        <v>455</v>
      </c>
      <c r="L29" s="648"/>
      <c r="M29" s="648"/>
      <c r="N29" s="648"/>
      <c r="O29" s="648"/>
      <c r="P29" s="648"/>
      <c r="Q29" s="649"/>
      <c r="R29" s="643" t="s">
        <v>809</v>
      </c>
      <c r="S29" s="644"/>
    </row>
    <row r="30" spans="1:19" x14ac:dyDescent="0.3">
      <c r="A30" s="143"/>
      <c r="B30" s="645"/>
      <c r="C30" s="645"/>
      <c r="D30" s="645"/>
      <c r="E30" s="645"/>
      <c r="F30" s="645"/>
      <c r="G30" s="645"/>
      <c r="H30" s="645"/>
      <c r="I30" s="646"/>
      <c r="J30" s="646"/>
      <c r="K30" s="647" t="s">
        <v>456</v>
      </c>
      <c r="L30" s="648"/>
      <c r="M30" s="648"/>
      <c r="N30" s="648"/>
      <c r="O30" s="648"/>
      <c r="P30" s="648"/>
      <c r="Q30" s="649"/>
      <c r="R30" s="643" t="s">
        <v>809</v>
      </c>
      <c r="S30" s="644"/>
    </row>
    <row r="31" spans="1:19" x14ac:dyDescent="0.3">
      <c r="A31" s="143"/>
      <c r="B31" s="645" t="s">
        <v>451</v>
      </c>
      <c r="C31" s="645"/>
      <c r="D31" s="645"/>
      <c r="E31" s="645"/>
      <c r="F31" s="645"/>
      <c r="G31" s="645"/>
      <c r="H31" s="645"/>
      <c r="I31" s="646" t="s">
        <v>809</v>
      </c>
      <c r="J31" s="646"/>
      <c r="K31" s="647" t="s">
        <v>457</v>
      </c>
      <c r="L31" s="648"/>
      <c r="M31" s="648"/>
      <c r="N31" s="648"/>
      <c r="O31" s="648"/>
      <c r="P31" s="648"/>
      <c r="Q31" s="649"/>
      <c r="R31" s="643">
        <v>3</v>
      </c>
      <c r="S31" s="644"/>
    </row>
    <row r="32" spans="1:19" x14ac:dyDescent="0.3">
      <c r="A32" s="143"/>
      <c r="B32" s="645" t="s">
        <v>452</v>
      </c>
      <c r="C32" s="645"/>
      <c r="D32" s="645"/>
      <c r="E32" s="645"/>
      <c r="F32" s="645"/>
      <c r="G32" s="645"/>
      <c r="H32" s="645"/>
      <c r="I32" s="646">
        <v>1</v>
      </c>
      <c r="J32" s="646"/>
      <c r="K32" s="647" t="s">
        <v>458</v>
      </c>
      <c r="L32" s="648"/>
      <c r="M32" s="648"/>
      <c r="N32" s="648"/>
      <c r="O32" s="648"/>
      <c r="P32" s="648"/>
      <c r="Q32" s="649"/>
      <c r="R32" s="643">
        <v>3</v>
      </c>
      <c r="S32" s="644"/>
    </row>
    <row r="33" spans="1:19" x14ac:dyDescent="0.3">
      <c r="A33" s="143"/>
      <c r="B33" s="645" t="s">
        <v>453</v>
      </c>
      <c r="C33" s="645"/>
      <c r="D33" s="645"/>
      <c r="E33" s="645"/>
      <c r="F33" s="645"/>
      <c r="G33" s="645"/>
      <c r="H33" s="645"/>
      <c r="I33" s="646">
        <v>1</v>
      </c>
      <c r="J33" s="646"/>
      <c r="K33" s="647" t="s">
        <v>459</v>
      </c>
      <c r="L33" s="648"/>
      <c r="M33" s="648"/>
      <c r="N33" s="648"/>
      <c r="O33" s="648"/>
      <c r="P33" s="648"/>
      <c r="Q33" s="649"/>
      <c r="R33" s="643">
        <v>1</v>
      </c>
      <c r="S33" s="644"/>
    </row>
    <row r="34" spans="1:19" s="61" customFormat="1" x14ac:dyDescent="0.3">
      <c r="A34" s="143"/>
      <c r="B34" s="222"/>
      <c r="C34" s="222"/>
      <c r="D34" s="222"/>
      <c r="E34" s="222"/>
      <c r="F34" s="222"/>
      <c r="G34" s="222"/>
      <c r="H34" s="222"/>
      <c r="I34" s="222"/>
      <c r="J34" s="222"/>
      <c r="K34" s="216"/>
      <c r="L34" s="216"/>
      <c r="M34" s="57"/>
      <c r="N34" s="216"/>
      <c r="O34" s="216"/>
      <c r="P34" s="216"/>
      <c r="Q34" s="216"/>
      <c r="R34" s="216"/>
      <c r="S34" s="216"/>
    </row>
    <row r="35" spans="1:19" x14ac:dyDescent="0.3">
      <c r="A35" s="109" t="s">
        <v>175</v>
      </c>
      <c r="B35" s="1"/>
      <c r="C35" s="57"/>
      <c r="D35" s="57"/>
      <c r="E35" s="1"/>
      <c r="F35" s="57"/>
      <c r="G35" s="627"/>
      <c r="H35" s="627"/>
      <c r="I35" s="1"/>
      <c r="J35" s="57"/>
      <c r="K35" s="57"/>
      <c r="L35" s="627" t="s">
        <v>810</v>
      </c>
      <c r="M35" s="627"/>
      <c r="N35" s="57"/>
      <c r="O35" s="57"/>
      <c r="P35" s="57"/>
      <c r="Q35" s="57"/>
      <c r="R35" s="57"/>
      <c r="S35" s="57"/>
    </row>
    <row r="36" spans="1:19" x14ac:dyDescent="0.3">
      <c r="A36" s="223"/>
      <c r="B36" s="224"/>
      <c r="C36" s="61"/>
      <c r="D36" s="61"/>
      <c r="E36" s="225"/>
      <c r="F36" s="61"/>
      <c r="G36" s="630" t="s">
        <v>96</v>
      </c>
      <c r="H36" s="630"/>
      <c r="I36" s="225"/>
      <c r="J36" s="61"/>
      <c r="K36" s="61"/>
      <c r="L36" s="630" t="s">
        <v>97</v>
      </c>
      <c r="M36" s="630"/>
      <c r="N36" s="61"/>
      <c r="O36" s="61"/>
      <c r="P36" s="61"/>
      <c r="Q36" s="61"/>
      <c r="R36" s="61"/>
      <c r="S36" s="61"/>
    </row>
    <row r="37" spans="1:19" s="61" customFormat="1" x14ac:dyDescent="0.3">
      <c r="A37" s="108" t="s">
        <v>154</v>
      </c>
      <c r="B37" s="55"/>
      <c r="C37" s="57"/>
      <c r="D37" s="57"/>
      <c r="E37" s="1"/>
      <c r="F37" s="57"/>
      <c r="G37" s="296"/>
      <c r="H37" s="1"/>
      <c r="I37" s="1"/>
      <c r="J37" s="57"/>
      <c r="K37" s="57"/>
      <c r="L37" s="1"/>
      <c r="M37" s="296"/>
      <c r="N37" s="57"/>
      <c r="O37" s="57"/>
      <c r="P37" s="57"/>
      <c r="Q37" s="57"/>
      <c r="R37" s="57"/>
      <c r="S37" s="57"/>
    </row>
    <row r="38" spans="1:19" x14ac:dyDescent="0.3">
      <c r="A38" s="109" t="s">
        <v>296</v>
      </c>
      <c r="B38" s="1"/>
      <c r="C38" s="57"/>
      <c r="D38" s="57"/>
      <c r="E38" s="1"/>
      <c r="F38" s="57"/>
      <c r="G38" s="627"/>
      <c r="H38" s="627"/>
      <c r="I38" s="1"/>
      <c r="J38" s="57"/>
      <c r="K38" s="57"/>
      <c r="L38" s="627" t="s">
        <v>811</v>
      </c>
      <c r="M38" s="627"/>
      <c r="N38" s="57"/>
      <c r="O38" s="57"/>
      <c r="P38" s="57"/>
      <c r="Q38" s="57"/>
      <c r="R38" s="57"/>
      <c r="S38" s="57"/>
    </row>
    <row r="39" spans="1:19" s="61" customFormat="1" ht="13.2" x14ac:dyDescent="0.25">
      <c r="A39" s="226"/>
      <c r="B39" s="225"/>
      <c r="E39" s="225"/>
      <c r="G39" s="630" t="s">
        <v>96</v>
      </c>
      <c r="H39" s="630"/>
      <c r="I39" s="225"/>
      <c r="L39" s="630" t="s">
        <v>97</v>
      </c>
      <c r="M39" s="630"/>
    </row>
    <row r="40" spans="1:19" s="61" customFormat="1" x14ac:dyDescent="0.3">
      <c r="A40" s="110"/>
      <c r="B40" s="1"/>
      <c r="C40" s="1"/>
      <c r="D40" s="1"/>
      <c r="E40" s="1"/>
      <c r="F40" s="57"/>
      <c r="G40" s="57"/>
      <c r="H40" s="1"/>
      <c r="I40" s="1"/>
      <c r="J40" s="57"/>
      <c r="K40" s="57"/>
      <c r="L40" s="1"/>
      <c r="M40" s="1"/>
      <c r="N40" s="57"/>
      <c r="O40" s="57"/>
      <c r="P40" s="57"/>
      <c r="Q40" s="57"/>
      <c r="R40" s="57"/>
      <c r="S40" s="57"/>
    </row>
    <row r="41" spans="1:19" x14ac:dyDescent="0.3">
      <c r="A41" s="109" t="s">
        <v>297</v>
      </c>
      <c r="B41" s="1"/>
      <c r="C41" s="61"/>
      <c r="D41" s="627" t="s">
        <v>812</v>
      </c>
      <c r="E41" s="627"/>
      <c r="F41" s="627"/>
      <c r="G41" s="61"/>
      <c r="H41" s="627"/>
      <c r="I41" s="627"/>
      <c r="J41" s="61"/>
      <c r="K41" s="61"/>
      <c r="L41" s="627" t="s">
        <v>813</v>
      </c>
      <c r="M41" s="627"/>
      <c r="N41" s="61"/>
      <c r="O41" s="61"/>
      <c r="P41" s="627" t="s">
        <v>814</v>
      </c>
      <c r="Q41" s="627"/>
      <c r="R41" s="61"/>
      <c r="S41" s="61"/>
    </row>
    <row r="42" spans="1:19" s="59" customFormat="1" ht="18" x14ac:dyDescent="0.35">
      <c r="A42" s="226"/>
      <c r="B42" s="225"/>
      <c r="C42" s="61"/>
      <c r="D42" s="630" t="s">
        <v>152</v>
      </c>
      <c r="E42" s="630"/>
      <c r="F42" s="630"/>
      <c r="G42" s="61"/>
      <c r="H42" s="630" t="s">
        <v>96</v>
      </c>
      <c r="I42" s="630"/>
      <c r="J42" s="61"/>
      <c r="K42" s="61"/>
      <c r="L42" s="630" t="s">
        <v>298</v>
      </c>
      <c r="M42" s="630"/>
      <c r="N42" s="61"/>
      <c r="O42" s="61"/>
      <c r="P42" s="630" t="s">
        <v>176</v>
      </c>
      <c r="Q42" s="630"/>
      <c r="R42" s="61"/>
      <c r="S42" s="61"/>
    </row>
    <row r="43" spans="1:19" s="59" customFormat="1" ht="18" x14ac:dyDescent="0.35">
      <c r="A43" s="652" t="s">
        <v>466</v>
      </c>
      <c r="B43" s="652"/>
      <c r="C43" s="652"/>
      <c r="D43" s="652"/>
      <c r="E43" s="652"/>
      <c r="F43" s="652"/>
      <c r="G43" s="652"/>
      <c r="H43" s="652"/>
      <c r="I43" s="652"/>
      <c r="J43" s="652"/>
      <c r="K43" s="652"/>
      <c r="L43" s="652"/>
      <c r="M43" s="652"/>
      <c r="N43" s="652"/>
      <c r="O43" s="652"/>
      <c r="P43" s="652"/>
      <c r="Q43" s="652"/>
      <c r="R43" s="652"/>
      <c r="S43" s="652"/>
    </row>
    <row r="44" spans="1:19" s="59" customFormat="1" ht="18" x14ac:dyDescent="0.35">
      <c r="A44" s="652"/>
      <c r="B44" s="652"/>
      <c r="C44" s="652"/>
      <c r="D44" s="652"/>
      <c r="E44" s="652"/>
      <c r="F44" s="652"/>
      <c r="G44" s="652"/>
      <c r="H44" s="652"/>
      <c r="I44" s="652"/>
      <c r="J44" s="652"/>
      <c r="K44" s="652"/>
      <c r="L44" s="652"/>
      <c r="M44" s="652"/>
      <c r="N44" s="652"/>
      <c r="O44" s="652"/>
      <c r="P44" s="652"/>
      <c r="Q44" s="652"/>
      <c r="R44" s="652"/>
      <c r="S44" s="652"/>
    </row>
    <row r="45" spans="1:19" s="59" customFormat="1" ht="18" x14ac:dyDescent="0.35">
      <c r="A45" s="652" t="s">
        <v>460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2"/>
      <c r="O45" s="652"/>
      <c r="P45" s="652"/>
      <c r="Q45" s="652"/>
      <c r="R45" s="652"/>
      <c r="S45" s="652"/>
    </row>
    <row r="46" spans="1:19" x14ac:dyDescent="0.3">
      <c r="D46" s="57"/>
      <c r="E46" s="57"/>
    </row>
    <row r="48" spans="1:19" x14ac:dyDescent="0.3">
      <c r="J48" s="57"/>
      <c r="K48" s="57"/>
    </row>
    <row r="49" spans="10:11" x14ac:dyDescent="0.3">
      <c r="J49" s="57"/>
      <c r="K49" s="57"/>
    </row>
  </sheetData>
  <mergeCells count="58">
    <mergeCell ref="L42:M42"/>
    <mergeCell ref="P42:Q42"/>
    <mergeCell ref="G35:H35"/>
    <mergeCell ref="L35:M35"/>
    <mergeCell ref="G38:H38"/>
    <mergeCell ref="L38:M38"/>
    <mergeCell ref="G39:H39"/>
    <mergeCell ref="B26:E26"/>
    <mergeCell ref="B27:H27"/>
    <mergeCell ref="I27:J27"/>
    <mergeCell ref="B28:H28"/>
    <mergeCell ref="I28:J28"/>
    <mergeCell ref="A1:S2"/>
    <mergeCell ref="A4:A9"/>
    <mergeCell ref="B4:S5"/>
    <mergeCell ref="B6:J6"/>
    <mergeCell ref="K6:S6"/>
    <mergeCell ref="B8:B9"/>
    <mergeCell ref="C8:F8"/>
    <mergeCell ref="G8:J8"/>
    <mergeCell ref="K8:K9"/>
    <mergeCell ref="L8:O8"/>
    <mergeCell ref="P8:S8"/>
    <mergeCell ref="B7:J7"/>
    <mergeCell ref="K7:S7"/>
    <mergeCell ref="A45:S45"/>
    <mergeCell ref="G36:H36"/>
    <mergeCell ref="L36:M36"/>
    <mergeCell ref="K31:Q31"/>
    <mergeCell ref="B31:H31"/>
    <mergeCell ref="I31:J31"/>
    <mergeCell ref="A43:S44"/>
    <mergeCell ref="L39:M39"/>
    <mergeCell ref="D41:F41"/>
    <mergeCell ref="H41:I41"/>
    <mergeCell ref="L41:M41"/>
    <mergeCell ref="P41:Q41"/>
    <mergeCell ref="D42:F42"/>
    <mergeCell ref="H42:I42"/>
    <mergeCell ref="B32:H32"/>
    <mergeCell ref="I32:J32"/>
    <mergeCell ref="K27:Q27"/>
    <mergeCell ref="R27:S27"/>
    <mergeCell ref="K28:Q28"/>
    <mergeCell ref="R28:S28"/>
    <mergeCell ref="K29:Q29"/>
    <mergeCell ref="R29:S29"/>
    <mergeCell ref="R30:S30"/>
    <mergeCell ref="R31:S31"/>
    <mergeCell ref="R32:S32"/>
    <mergeCell ref="B33:H33"/>
    <mergeCell ref="I33:J33"/>
    <mergeCell ref="K33:Q33"/>
    <mergeCell ref="R33:S33"/>
    <mergeCell ref="B29:H30"/>
    <mergeCell ref="I29:J30"/>
    <mergeCell ref="K32:Q32"/>
    <mergeCell ref="K30:Q30"/>
  </mergeCells>
  <printOptions horizontalCentered="1"/>
  <pageMargins left="0.39370078740157483" right="0.39370078740157483" top="0.78740157480314965" bottom="0.19685039370078741" header="0.31496062992125984" footer="0.31496062992125984"/>
  <pageSetup paperSize="9" scale="5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5"/>
  <sheetViews>
    <sheetView topLeftCell="A25" zoomScale="80" zoomScaleNormal="80" workbookViewId="0">
      <selection activeCell="A19" sqref="A19:H19"/>
    </sheetView>
  </sheetViews>
  <sheetFormatPr defaultColWidth="9.109375" defaultRowHeight="15.6" x14ac:dyDescent="0.3"/>
  <cols>
    <col min="1" max="1" width="4.6640625" style="57" customWidth="1"/>
    <col min="2" max="2" width="30.6640625" style="57" customWidth="1"/>
    <col min="3" max="8" width="15.6640625" style="57" customWidth="1"/>
    <col min="9" max="16384" width="9.109375" style="57"/>
  </cols>
  <sheetData>
    <row r="2" spans="1:8" x14ac:dyDescent="0.3">
      <c r="A2" s="641" t="s">
        <v>468</v>
      </c>
      <c r="B2" s="641"/>
      <c r="C2" s="641"/>
      <c r="D2" s="641"/>
      <c r="E2" s="641"/>
      <c r="F2" s="641"/>
      <c r="G2" s="641"/>
      <c r="H2" s="641"/>
    </row>
    <row r="3" spans="1:8" x14ac:dyDescent="0.3">
      <c r="A3" s="301"/>
      <c r="B3" s="301"/>
      <c r="C3" s="301"/>
      <c r="D3" s="301"/>
      <c r="E3" s="301"/>
      <c r="F3" s="301"/>
      <c r="G3" s="301"/>
      <c r="H3" s="301"/>
    </row>
    <row r="4" spans="1:8" x14ac:dyDescent="0.3">
      <c r="A4" s="641" t="s">
        <v>529</v>
      </c>
      <c r="B4" s="641"/>
      <c r="C4" s="641"/>
      <c r="D4" s="641"/>
      <c r="E4" s="641"/>
      <c r="F4" s="641"/>
      <c r="G4" s="641"/>
      <c r="H4" s="641"/>
    </row>
    <row r="5" spans="1:8" x14ac:dyDescent="0.3">
      <c r="A5" s="1"/>
      <c r="B5" s="1"/>
      <c r="C5" s="1"/>
      <c r="D5" s="1"/>
      <c r="E5" s="1"/>
      <c r="F5" s="1"/>
    </row>
    <row r="6" spans="1:8" ht="33" customHeight="1" x14ac:dyDescent="0.3">
      <c r="A6" s="531" t="s">
        <v>1</v>
      </c>
      <c r="B6" s="531" t="s">
        <v>469</v>
      </c>
      <c r="C6" s="531" t="s">
        <v>470</v>
      </c>
      <c r="D6" s="531" t="s">
        <v>471</v>
      </c>
      <c r="E6" s="531" t="s">
        <v>472</v>
      </c>
      <c r="F6" s="531" t="s">
        <v>599</v>
      </c>
      <c r="G6" s="639" t="s">
        <v>396</v>
      </c>
      <c r="H6" s="639"/>
    </row>
    <row r="7" spans="1:8" ht="78" x14ac:dyDescent="0.3">
      <c r="A7" s="533"/>
      <c r="B7" s="533"/>
      <c r="C7" s="533"/>
      <c r="D7" s="533"/>
      <c r="E7" s="533"/>
      <c r="F7" s="533"/>
      <c r="G7" s="300" t="s">
        <v>401</v>
      </c>
      <c r="H7" s="300" t="s">
        <v>402</v>
      </c>
    </row>
    <row r="8" spans="1:8" x14ac:dyDescent="0.3">
      <c r="A8" s="293">
        <v>1</v>
      </c>
      <c r="B8" s="293">
        <v>2</v>
      </c>
      <c r="C8" s="293">
        <v>3</v>
      </c>
      <c r="D8" s="293">
        <v>4</v>
      </c>
      <c r="E8" s="293">
        <v>5</v>
      </c>
      <c r="F8" s="293" t="s">
        <v>536</v>
      </c>
      <c r="G8" s="293">
        <v>7</v>
      </c>
      <c r="H8" s="293">
        <v>8</v>
      </c>
    </row>
    <row r="9" spans="1:8" x14ac:dyDescent="0.3">
      <c r="A9" s="670" t="s">
        <v>681</v>
      </c>
      <c r="B9" s="671"/>
      <c r="C9" s="671"/>
      <c r="D9" s="671"/>
      <c r="E9" s="671"/>
      <c r="F9" s="671"/>
      <c r="G9" s="671"/>
      <c r="H9" s="672"/>
    </row>
    <row r="10" spans="1:8" x14ac:dyDescent="0.3">
      <c r="A10" s="64">
        <v>1</v>
      </c>
      <c r="B10" s="120" t="s">
        <v>479</v>
      </c>
      <c r="C10" s="122">
        <v>100</v>
      </c>
      <c r="D10" s="122">
        <v>20</v>
      </c>
      <c r="E10" s="122">
        <v>5</v>
      </c>
      <c r="F10" s="200">
        <f>C10*D10*E10</f>
        <v>10000</v>
      </c>
      <c r="G10" s="200">
        <v>5000</v>
      </c>
      <c r="H10" s="200">
        <v>5000</v>
      </c>
    </row>
    <row r="11" spans="1:8" x14ac:dyDescent="0.3">
      <c r="A11" s="64">
        <v>2</v>
      </c>
      <c r="B11" s="120" t="s">
        <v>480</v>
      </c>
      <c r="C11" s="122">
        <v>2000</v>
      </c>
      <c r="D11" s="122">
        <v>10</v>
      </c>
      <c r="E11" s="122">
        <v>1</v>
      </c>
      <c r="F11" s="200">
        <f t="shared" ref="F11:F14" si="0">C11*D11*E11</f>
        <v>20000</v>
      </c>
      <c r="G11" s="200">
        <v>10000</v>
      </c>
      <c r="H11" s="200">
        <v>10000</v>
      </c>
    </row>
    <row r="12" spans="1:8" x14ac:dyDescent="0.3">
      <c r="A12" s="64">
        <v>3</v>
      </c>
      <c r="B12" s="120" t="s">
        <v>481</v>
      </c>
      <c r="C12" s="122">
        <v>1500</v>
      </c>
      <c r="D12" s="122">
        <v>5</v>
      </c>
      <c r="E12" s="122">
        <v>2</v>
      </c>
      <c r="F12" s="200">
        <f t="shared" si="0"/>
        <v>15000</v>
      </c>
      <c r="G12" s="200">
        <v>5000</v>
      </c>
      <c r="H12" s="200">
        <v>10000</v>
      </c>
    </row>
    <row r="13" spans="1:8" x14ac:dyDescent="0.3">
      <c r="A13" s="64"/>
      <c r="B13" s="120"/>
      <c r="C13" s="122"/>
      <c r="D13" s="122"/>
      <c r="E13" s="122"/>
      <c r="F13" s="200">
        <f t="shared" si="0"/>
        <v>0</v>
      </c>
      <c r="G13" s="200"/>
      <c r="H13" s="200"/>
    </row>
    <row r="14" spans="1:8" x14ac:dyDescent="0.3">
      <c r="A14" s="64"/>
      <c r="B14" s="120"/>
      <c r="C14" s="122"/>
      <c r="D14" s="122"/>
      <c r="E14" s="122"/>
      <c r="F14" s="200">
        <f t="shared" si="0"/>
        <v>0</v>
      </c>
      <c r="G14" s="200"/>
      <c r="H14" s="200"/>
    </row>
    <row r="15" spans="1:8" s="58" customFormat="1" x14ac:dyDescent="0.3">
      <c r="A15" s="293"/>
      <c r="B15" s="228" t="s">
        <v>385</v>
      </c>
      <c r="C15" s="229" t="s">
        <v>24</v>
      </c>
      <c r="D15" s="229" t="s">
        <v>24</v>
      </c>
      <c r="E15" s="229" t="s">
        <v>24</v>
      </c>
      <c r="F15" s="227">
        <f>SUM(F10:F14)</f>
        <v>45000</v>
      </c>
      <c r="G15" s="227">
        <f t="shared" ref="G15:H15" si="1">SUM(G10:G12)</f>
        <v>20000</v>
      </c>
      <c r="H15" s="227">
        <f t="shared" si="1"/>
        <v>25000</v>
      </c>
    </row>
    <row r="17" spans="1:8" x14ac:dyDescent="0.3">
      <c r="A17" s="641" t="s">
        <v>468</v>
      </c>
      <c r="B17" s="641"/>
      <c r="C17" s="641"/>
      <c r="D17" s="641"/>
      <c r="E17" s="641"/>
      <c r="F17" s="641"/>
      <c r="G17" s="641"/>
      <c r="H17" s="641"/>
    </row>
    <row r="18" spans="1:8" x14ac:dyDescent="0.3">
      <c r="A18" s="301"/>
      <c r="B18" s="301"/>
      <c r="C18" s="301"/>
      <c r="D18" s="301"/>
      <c r="E18" s="301"/>
      <c r="F18" s="301"/>
      <c r="G18" s="301"/>
      <c r="H18" s="301"/>
    </row>
    <row r="19" spans="1:8" x14ac:dyDescent="0.3">
      <c r="A19" s="641" t="s">
        <v>758</v>
      </c>
      <c r="B19" s="641"/>
      <c r="C19" s="641"/>
      <c r="D19" s="641"/>
      <c r="E19" s="641"/>
      <c r="F19" s="641"/>
      <c r="G19" s="641"/>
      <c r="H19" s="641"/>
    </row>
    <row r="20" spans="1:8" x14ac:dyDescent="0.3">
      <c r="A20" s="1"/>
      <c r="B20" s="1"/>
      <c r="C20" s="1"/>
      <c r="D20" s="1"/>
      <c r="E20" s="1"/>
      <c r="F20" s="1"/>
    </row>
    <row r="21" spans="1:8" ht="33" customHeight="1" x14ac:dyDescent="0.3">
      <c r="A21" s="531" t="s">
        <v>1</v>
      </c>
      <c r="B21" s="531" t="s">
        <v>469</v>
      </c>
      <c r="C21" s="531" t="s">
        <v>470</v>
      </c>
      <c r="D21" s="531" t="s">
        <v>471</v>
      </c>
      <c r="E21" s="531" t="s">
        <v>472</v>
      </c>
      <c r="F21" s="531" t="s">
        <v>599</v>
      </c>
      <c r="G21" s="639" t="s">
        <v>396</v>
      </c>
      <c r="H21" s="639"/>
    </row>
    <row r="22" spans="1:8" ht="78" x14ac:dyDescent="0.3">
      <c r="A22" s="533"/>
      <c r="B22" s="533"/>
      <c r="C22" s="533"/>
      <c r="D22" s="533"/>
      <c r="E22" s="533"/>
      <c r="F22" s="533"/>
      <c r="G22" s="300" t="s">
        <v>401</v>
      </c>
      <c r="H22" s="300" t="s">
        <v>402</v>
      </c>
    </row>
    <row r="23" spans="1:8" x14ac:dyDescent="0.3">
      <c r="A23" s="293">
        <v>1</v>
      </c>
      <c r="B23" s="293">
        <v>2</v>
      </c>
      <c r="C23" s="293">
        <v>3</v>
      </c>
      <c r="D23" s="293">
        <v>4</v>
      </c>
      <c r="E23" s="293">
        <v>5</v>
      </c>
      <c r="F23" s="293" t="s">
        <v>536</v>
      </c>
      <c r="G23" s="293">
        <v>7</v>
      </c>
      <c r="H23" s="293">
        <v>8</v>
      </c>
    </row>
    <row r="24" spans="1:8" x14ac:dyDescent="0.3">
      <c r="A24" s="670" t="s">
        <v>634</v>
      </c>
      <c r="B24" s="671"/>
      <c r="C24" s="671"/>
      <c r="D24" s="671"/>
      <c r="E24" s="671"/>
      <c r="F24" s="671"/>
      <c r="G24" s="671"/>
      <c r="H24" s="672"/>
    </row>
    <row r="25" spans="1:8" x14ac:dyDescent="0.3">
      <c r="A25" s="64">
        <v>1</v>
      </c>
      <c r="B25" s="120" t="s">
        <v>480</v>
      </c>
      <c r="C25" s="122"/>
      <c r="D25" s="122"/>
      <c r="E25" s="122"/>
      <c r="F25" s="200">
        <f t="shared" ref="F25:F28" si="2">C25*D25*E25</f>
        <v>0</v>
      </c>
      <c r="G25" s="200"/>
      <c r="H25" s="200"/>
    </row>
    <row r="26" spans="1:8" x14ac:dyDescent="0.3">
      <c r="A26" s="64">
        <v>2</v>
      </c>
      <c r="B26" s="120" t="s">
        <v>481</v>
      </c>
      <c r="C26" s="122"/>
      <c r="D26" s="122"/>
      <c r="E26" s="122"/>
      <c r="F26" s="200">
        <f t="shared" si="2"/>
        <v>0</v>
      </c>
      <c r="G26" s="200"/>
      <c r="H26" s="200"/>
    </row>
    <row r="27" spans="1:8" x14ac:dyDescent="0.3">
      <c r="A27" s="64"/>
      <c r="B27" s="120"/>
      <c r="C27" s="122"/>
      <c r="D27" s="122"/>
      <c r="E27" s="122"/>
      <c r="F27" s="200">
        <f t="shared" si="2"/>
        <v>0</v>
      </c>
      <c r="G27" s="200"/>
      <c r="H27" s="200"/>
    </row>
    <row r="28" spans="1:8" x14ac:dyDescent="0.3">
      <c r="A28" s="64"/>
      <c r="B28" s="120"/>
      <c r="C28" s="122"/>
      <c r="D28" s="122"/>
      <c r="E28" s="122"/>
      <c r="F28" s="200">
        <f t="shared" si="2"/>
        <v>0</v>
      </c>
      <c r="G28" s="200"/>
      <c r="H28" s="200"/>
    </row>
    <row r="29" spans="1:8" s="58" customFormat="1" x14ac:dyDescent="0.3">
      <c r="A29" s="293"/>
      <c r="B29" s="228" t="s">
        <v>385</v>
      </c>
      <c r="C29" s="229" t="s">
        <v>24</v>
      </c>
      <c r="D29" s="229" t="s">
        <v>24</v>
      </c>
      <c r="E29" s="229" t="s">
        <v>24</v>
      </c>
      <c r="F29" s="227">
        <f>SUM(F25:F28)</f>
        <v>0</v>
      </c>
      <c r="G29" s="227">
        <f>SUM(G25:G26)</f>
        <v>0</v>
      </c>
      <c r="H29" s="227">
        <f>SUM(H25:H26)</f>
        <v>0</v>
      </c>
    </row>
    <row r="30" spans="1:8" x14ac:dyDescent="0.3">
      <c r="A30" s="1"/>
      <c r="B30" s="1"/>
      <c r="C30" s="1"/>
      <c r="D30" s="1"/>
      <c r="E30" s="1"/>
      <c r="F30" s="1"/>
    </row>
    <row r="31" spans="1:8" x14ac:dyDescent="0.3">
      <c r="A31" s="641" t="s">
        <v>474</v>
      </c>
      <c r="B31" s="641"/>
      <c r="C31" s="641"/>
      <c r="D31" s="641"/>
      <c r="E31" s="641"/>
      <c r="F31" s="641"/>
      <c r="G31" s="641"/>
      <c r="H31" s="641"/>
    </row>
    <row r="32" spans="1:8" x14ac:dyDescent="0.3">
      <c r="A32" s="301"/>
      <c r="B32" s="301"/>
      <c r="C32" s="301"/>
      <c r="D32" s="301"/>
      <c r="E32" s="301"/>
      <c r="F32" s="301"/>
      <c r="G32" s="301"/>
      <c r="H32" s="301"/>
    </row>
    <row r="33" spans="1:8" x14ac:dyDescent="0.3">
      <c r="A33" s="641" t="s">
        <v>529</v>
      </c>
      <c r="B33" s="641"/>
      <c r="C33" s="641"/>
      <c r="D33" s="641"/>
      <c r="E33" s="641"/>
      <c r="F33" s="641"/>
      <c r="G33" s="641"/>
      <c r="H33" s="641"/>
    </row>
    <row r="34" spans="1:8" x14ac:dyDescent="0.3">
      <c r="A34" s="301"/>
      <c r="B34" s="301"/>
      <c r="C34" s="301"/>
      <c r="D34" s="301"/>
      <c r="E34" s="301"/>
      <c r="F34" s="301"/>
      <c r="G34" s="301"/>
      <c r="H34" s="301"/>
    </row>
    <row r="35" spans="1:8" ht="33" customHeight="1" x14ac:dyDescent="0.3">
      <c r="A35" s="531" t="s">
        <v>1</v>
      </c>
      <c r="B35" s="531" t="s">
        <v>469</v>
      </c>
      <c r="C35" s="531" t="s">
        <v>475</v>
      </c>
      <c r="D35" s="531" t="s">
        <v>476</v>
      </c>
      <c r="E35" s="531" t="s">
        <v>477</v>
      </c>
      <c r="F35" s="531" t="s">
        <v>473</v>
      </c>
      <c r="G35" s="639" t="s">
        <v>396</v>
      </c>
      <c r="H35" s="639"/>
    </row>
    <row r="36" spans="1:8" ht="78" x14ac:dyDescent="0.3">
      <c r="A36" s="533"/>
      <c r="B36" s="533"/>
      <c r="C36" s="533"/>
      <c r="D36" s="533"/>
      <c r="E36" s="533"/>
      <c r="F36" s="533"/>
      <c r="G36" s="300" t="s">
        <v>401</v>
      </c>
      <c r="H36" s="300" t="s">
        <v>402</v>
      </c>
    </row>
    <row r="37" spans="1:8" x14ac:dyDescent="0.3">
      <c r="A37" s="293">
        <v>1</v>
      </c>
      <c r="B37" s="293">
        <v>2</v>
      </c>
      <c r="C37" s="293">
        <v>3</v>
      </c>
      <c r="D37" s="293">
        <v>4</v>
      </c>
      <c r="E37" s="293">
        <v>5</v>
      </c>
      <c r="F37" s="293">
        <v>6</v>
      </c>
      <c r="G37" s="293">
        <v>7</v>
      </c>
      <c r="H37" s="293">
        <v>8</v>
      </c>
    </row>
    <row r="38" spans="1:8" x14ac:dyDescent="0.3">
      <c r="A38" s="670" t="s">
        <v>682</v>
      </c>
      <c r="B38" s="671"/>
      <c r="C38" s="671"/>
      <c r="D38" s="671"/>
      <c r="E38" s="671"/>
      <c r="F38" s="671"/>
      <c r="G38" s="671"/>
      <c r="H38" s="672"/>
    </row>
    <row r="39" spans="1:8" ht="31.2" x14ac:dyDescent="0.3">
      <c r="A39" s="64">
        <v>1</v>
      </c>
      <c r="B39" s="120" t="s">
        <v>478</v>
      </c>
      <c r="C39" s="122">
        <v>2</v>
      </c>
      <c r="D39" s="122">
        <v>12</v>
      </c>
      <c r="E39" s="122">
        <v>50</v>
      </c>
      <c r="F39" s="227">
        <f>C39*D39*E39</f>
        <v>1200</v>
      </c>
      <c r="G39" s="200">
        <v>1200</v>
      </c>
      <c r="H39" s="200"/>
    </row>
    <row r="40" spans="1:8" ht="46.8" x14ac:dyDescent="0.3">
      <c r="A40" s="64">
        <v>2</v>
      </c>
      <c r="B40" s="120" t="s">
        <v>663</v>
      </c>
      <c r="C40" s="122">
        <v>6</v>
      </c>
      <c r="D40" s="122">
        <v>1</v>
      </c>
      <c r="E40" s="122">
        <v>2000</v>
      </c>
      <c r="F40" s="227">
        <f t="shared" ref="F40:F43" si="3">C40*D40*E40</f>
        <v>12000</v>
      </c>
      <c r="G40" s="200">
        <v>12000</v>
      </c>
      <c r="H40" s="200"/>
    </row>
    <row r="41" spans="1:8" x14ac:dyDescent="0.3">
      <c r="A41" s="64"/>
      <c r="B41" s="120"/>
      <c r="C41" s="122"/>
      <c r="D41" s="122"/>
      <c r="E41" s="122"/>
      <c r="F41" s="227">
        <f t="shared" si="3"/>
        <v>0</v>
      </c>
      <c r="G41" s="200"/>
      <c r="H41" s="200"/>
    </row>
    <row r="42" spans="1:8" x14ac:dyDescent="0.3">
      <c r="A42" s="64"/>
      <c r="B42" s="120"/>
      <c r="C42" s="122"/>
      <c r="D42" s="122"/>
      <c r="E42" s="122"/>
      <c r="F42" s="227">
        <f t="shared" si="3"/>
        <v>0</v>
      </c>
      <c r="G42" s="200"/>
      <c r="H42" s="200"/>
    </row>
    <row r="43" spans="1:8" x14ac:dyDescent="0.3">
      <c r="A43" s="64"/>
      <c r="B43" s="120"/>
      <c r="C43" s="122"/>
      <c r="D43" s="122"/>
      <c r="E43" s="122"/>
      <c r="F43" s="227">
        <f t="shared" si="3"/>
        <v>0</v>
      </c>
      <c r="G43" s="200"/>
      <c r="H43" s="200"/>
    </row>
    <row r="44" spans="1:8" s="58" customFormat="1" x14ac:dyDescent="0.3">
      <c r="A44" s="293"/>
      <c r="B44" s="228" t="s">
        <v>385</v>
      </c>
      <c r="C44" s="229" t="s">
        <v>24</v>
      </c>
      <c r="D44" s="229" t="s">
        <v>24</v>
      </c>
      <c r="E44" s="229" t="s">
        <v>24</v>
      </c>
      <c r="F44" s="227">
        <f>SUM(F39:F43)</f>
        <v>13200</v>
      </c>
      <c r="G44" s="227">
        <f t="shared" ref="G44:H44" si="4">SUM(G39:G43)</f>
        <v>13200</v>
      </c>
      <c r="H44" s="227">
        <f t="shared" si="4"/>
        <v>0</v>
      </c>
    </row>
    <row r="45" spans="1:8" x14ac:dyDescent="0.3">
      <c r="A45" s="1"/>
      <c r="B45" s="1"/>
      <c r="C45" s="1"/>
      <c r="D45" s="1"/>
      <c r="E45" s="1"/>
      <c r="F45" s="1"/>
    </row>
  </sheetData>
  <mergeCells count="30">
    <mergeCell ref="C6:C7"/>
    <mergeCell ref="B6:B7"/>
    <mergeCell ref="A6:A7"/>
    <mergeCell ref="A38:H38"/>
    <mergeCell ref="A17:H17"/>
    <mergeCell ref="A19:H19"/>
    <mergeCell ref="A21:A22"/>
    <mergeCell ref="B21:B22"/>
    <mergeCell ref="C21:C22"/>
    <mergeCell ref="D21:D22"/>
    <mergeCell ref="E21:E22"/>
    <mergeCell ref="F21:F22"/>
    <mergeCell ref="G21:H21"/>
    <mergeCell ref="A24:H24"/>
    <mergeCell ref="A2:H2"/>
    <mergeCell ref="A4:H4"/>
    <mergeCell ref="G35:H35"/>
    <mergeCell ref="A35:A36"/>
    <mergeCell ref="B35:B36"/>
    <mergeCell ref="C35:C36"/>
    <mergeCell ref="D35:D36"/>
    <mergeCell ref="E35:E36"/>
    <mergeCell ref="F35:F36"/>
    <mergeCell ref="A33:H33"/>
    <mergeCell ref="A9:H9"/>
    <mergeCell ref="A31:H31"/>
    <mergeCell ref="G6:H6"/>
    <mergeCell ref="F6:F7"/>
    <mergeCell ref="E6:E7"/>
    <mergeCell ref="D6:D7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topLeftCell="A10" zoomScale="80" zoomScaleNormal="80" workbookViewId="0">
      <selection activeCell="F16" sqref="F16"/>
    </sheetView>
  </sheetViews>
  <sheetFormatPr defaultColWidth="9.109375" defaultRowHeight="15.6" x14ac:dyDescent="0.3"/>
  <cols>
    <col min="1" max="1" width="4.6640625" style="57" customWidth="1"/>
    <col min="2" max="2" width="56.6640625" style="60" customWidth="1"/>
    <col min="3" max="6" width="15.6640625" style="57" customWidth="1"/>
    <col min="7" max="16384" width="9.109375" style="57"/>
  </cols>
  <sheetData>
    <row r="2" spans="1:6" s="162" customFormat="1" x14ac:dyDescent="0.3">
      <c r="A2" s="641" t="s">
        <v>486</v>
      </c>
      <c r="B2" s="641"/>
      <c r="C2" s="641"/>
      <c r="D2" s="641"/>
      <c r="E2" s="641"/>
      <c r="F2" s="641"/>
    </row>
    <row r="3" spans="1:6" s="1" customFormat="1" x14ac:dyDescent="0.3">
      <c r="A3" s="641" t="s">
        <v>487</v>
      </c>
      <c r="B3" s="641"/>
      <c r="C3" s="641"/>
      <c r="D3" s="641"/>
      <c r="E3" s="641"/>
      <c r="F3" s="641"/>
    </row>
    <row r="4" spans="1:6" s="1" customFormat="1" x14ac:dyDescent="0.3">
      <c r="A4" s="641" t="s">
        <v>488</v>
      </c>
      <c r="B4" s="641"/>
      <c r="C4" s="641"/>
      <c r="D4" s="641"/>
      <c r="E4" s="641"/>
      <c r="F4" s="641"/>
    </row>
    <row r="5" spans="1:6" s="1" customFormat="1" x14ac:dyDescent="0.3">
      <c r="A5" s="301"/>
      <c r="B5" s="301"/>
      <c r="C5" s="301"/>
      <c r="D5" s="301"/>
      <c r="E5" s="301"/>
      <c r="F5" s="301"/>
    </row>
    <row r="6" spans="1:6" s="1" customFormat="1" x14ac:dyDescent="0.3">
      <c r="A6" s="641" t="s">
        <v>532</v>
      </c>
      <c r="B6" s="641"/>
      <c r="C6" s="641"/>
      <c r="D6" s="641"/>
      <c r="E6" s="641"/>
      <c r="F6" s="641"/>
    </row>
    <row r="7" spans="1:6" s="1" customFormat="1" x14ac:dyDescent="0.3">
      <c r="B7" s="12"/>
    </row>
    <row r="8" spans="1:6" s="1" customFormat="1" ht="35.25" customHeight="1" x14ac:dyDescent="0.3">
      <c r="A8" s="522" t="s">
        <v>1</v>
      </c>
      <c r="B8" s="522" t="s">
        <v>490</v>
      </c>
      <c r="C8" s="639" t="s">
        <v>401</v>
      </c>
      <c r="D8" s="639"/>
      <c r="E8" s="639" t="s">
        <v>402</v>
      </c>
      <c r="F8" s="639"/>
    </row>
    <row r="9" spans="1:6" s="240" customFormat="1" ht="78" x14ac:dyDescent="0.3">
      <c r="A9" s="522"/>
      <c r="B9" s="522"/>
      <c r="C9" s="294" t="s">
        <v>491</v>
      </c>
      <c r="D9" s="294" t="s">
        <v>492</v>
      </c>
      <c r="E9" s="294" t="s">
        <v>491</v>
      </c>
      <c r="F9" s="294" t="s">
        <v>492</v>
      </c>
    </row>
    <row r="10" spans="1:6" s="162" customFormat="1" x14ac:dyDescent="0.3">
      <c r="A10" s="293">
        <v>1</v>
      </c>
      <c r="B10" s="294">
        <v>2</v>
      </c>
      <c r="C10" s="303">
        <v>3</v>
      </c>
      <c r="D10" s="293">
        <v>4</v>
      </c>
      <c r="E10" s="303">
        <v>3</v>
      </c>
      <c r="F10" s="293">
        <v>4</v>
      </c>
    </row>
    <row r="11" spans="1:6" s="1" customFormat="1" ht="31.2" x14ac:dyDescent="0.3">
      <c r="A11" s="14">
        <v>1</v>
      </c>
      <c r="B11" s="177" t="s">
        <v>493</v>
      </c>
      <c r="C11" s="15" t="s">
        <v>24</v>
      </c>
      <c r="D11" s="98">
        <f>D12+D13+D14</f>
        <v>6199615.1799999997</v>
      </c>
      <c r="E11" s="15" t="s">
        <v>24</v>
      </c>
      <c r="F11" s="98">
        <f>F12+F13+F14</f>
        <v>1047470.82</v>
      </c>
    </row>
    <row r="12" spans="1:6" s="1" customFormat="1" ht="31.2" x14ac:dyDescent="0.3">
      <c r="A12" s="298" t="s">
        <v>521</v>
      </c>
      <c r="B12" s="209" t="s">
        <v>513</v>
      </c>
      <c r="C12" s="98">
        <f>'Приложение 1'!G31</f>
        <v>28180069</v>
      </c>
      <c r="D12" s="98">
        <f>C12*0.22</f>
        <v>6199615.1799999997</v>
      </c>
      <c r="E12" s="98">
        <f>'Приложение 1'!H31</f>
        <v>4761231</v>
      </c>
      <c r="F12" s="98">
        <f>E12*0.22</f>
        <v>1047470.82</v>
      </c>
    </row>
    <row r="13" spans="1:6" s="1" customFormat="1" x14ac:dyDescent="0.3">
      <c r="A13" s="14" t="s">
        <v>522</v>
      </c>
      <c r="B13" s="209" t="s">
        <v>494</v>
      </c>
      <c r="C13" s="98"/>
      <c r="D13" s="98"/>
      <c r="E13" s="98"/>
      <c r="F13" s="98"/>
    </row>
    <row r="14" spans="1:6" s="1" customFormat="1" ht="46.8" x14ac:dyDescent="0.3">
      <c r="A14" s="298" t="s">
        <v>523</v>
      </c>
      <c r="B14" s="209" t="s">
        <v>514</v>
      </c>
      <c r="C14" s="98"/>
      <c r="D14" s="98"/>
      <c r="E14" s="98"/>
      <c r="F14" s="98"/>
    </row>
    <row r="15" spans="1:6" s="1" customFormat="1" ht="31.2" x14ac:dyDescent="0.3">
      <c r="A15" s="298">
        <v>2</v>
      </c>
      <c r="B15" s="177" t="s">
        <v>515</v>
      </c>
      <c r="C15" s="15" t="s">
        <v>24</v>
      </c>
      <c r="D15" s="98">
        <f>D16+D17+D18+D19+D20</f>
        <v>873582.3</v>
      </c>
      <c r="E15" s="15" t="s">
        <v>24</v>
      </c>
      <c r="F15" s="98">
        <f>F16+F17+F18+F19+F20</f>
        <v>147597.20000000001</v>
      </c>
    </row>
    <row r="16" spans="1:6" s="1" customFormat="1" ht="62.4" x14ac:dyDescent="0.3">
      <c r="A16" s="298" t="s">
        <v>524</v>
      </c>
      <c r="B16" s="209" t="s">
        <v>516</v>
      </c>
      <c r="C16" s="98">
        <f>C12</f>
        <v>28180069</v>
      </c>
      <c r="D16" s="98">
        <f>C16*0.029+0.16</f>
        <v>817222.16</v>
      </c>
      <c r="E16" s="98">
        <f>E12</f>
        <v>4761231</v>
      </c>
      <c r="F16" s="98">
        <f>E16*0.029-0.96</f>
        <v>138074.74</v>
      </c>
    </row>
    <row r="17" spans="1:8" s="1" customFormat="1" ht="31.2" x14ac:dyDescent="0.3">
      <c r="A17" s="298" t="s">
        <v>525</v>
      </c>
      <c r="B17" s="209" t="s">
        <v>517</v>
      </c>
      <c r="C17" s="98"/>
      <c r="D17" s="98"/>
      <c r="E17" s="98"/>
      <c r="F17" s="98"/>
    </row>
    <row r="18" spans="1:8" s="1" customFormat="1" ht="46.8" x14ac:dyDescent="0.3">
      <c r="A18" s="298" t="s">
        <v>526</v>
      </c>
      <c r="B18" s="209" t="s">
        <v>518</v>
      </c>
      <c r="C18" s="98">
        <f>C12</f>
        <v>28180069</v>
      </c>
      <c r="D18" s="98">
        <f>C18*0.2/100</f>
        <v>56360.14</v>
      </c>
      <c r="E18" s="98">
        <f>E12</f>
        <v>4761231</v>
      </c>
      <c r="F18" s="98">
        <f>E18*0.2/100</f>
        <v>9522.4599999999991</v>
      </c>
    </row>
    <row r="19" spans="1:8" s="1" customFormat="1" ht="46.8" x14ac:dyDescent="0.3">
      <c r="A19" s="298" t="s">
        <v>527</v>
      </c>
      <c r="B19" s="209" t="s">
        <v>519</v>
      </c>
      <c r="C19" s="98"/>
      <c r="D19" s="98"/>
      <c r="E19" s="98"/>
      <c r="F19" s="98"/>
    </row>
    <row r="20" spans="1:8" s="1" customFormat="1" ht="46.8" x14ac:dyDescent="0.3">
      <c r="A20" s="298" t="s">
        <v>528</v>
      </c>
      <c r="B20" s="209" t="s">
        <v>519</v>
      </c>
      <c r="C20" s="98"/>
      <c r="D20" s="98"/>
      <c r="E20" s="98"/>
      <c r="F20" s="98"/>
    </row>
    <row r="21" spans="1:8" s="1" customFormat="1" ht="31.2" x14ac:dyDescent="0.3">
      <c r="A21" s="298">
        <v>3</v>
      </c>
      <c r="B21" s="177" t="s">
        <v>520</v>
      </c>
      <c r="C21" s="98">
        <f>C12</f>
        <v>28180069</v>
      </c>
      <c r="D21" s="98">
        <f>C21*5.1/100</f>
        <v>1437183.52</v>
      </c>
      <c r="E21" s="98">
        <f>E12</f>
        <v>4761231</v>
      </c>
      <c r="F21" s="98">
        <f>E21*5.1/100</f>
        <v>242822.78</v>
      </c>
    </row>
    <row r="22" spans="1:8" s="162" customFormat="1" x14ac:dyDescent="0.3">
      <c r="A22" s="13"/>
      <c r="B22" s="242" t="s">
        <v>385</v>
      </c>
      <c r="C22" s="238" t="s">
        <v>24</v>
      </c>
      <c r="D22" s="336">
        <f>D11+D15+D21</f>
        <v>8510381</v>
      </c>
      <c r="E22" s="338" t="s">
        <v>24</v>
      </c>
      <c r="F22" s="336">
        <f>F11+F15+F21</f>
        <v>1437890.8</v>
      </c>
      <c r="G22" s="1"/>
      <c r="H22" s="1"/>
    </row>
    <row r="23" spans="1:8" s="256" customFormat="1" ht="16.2" x14ac:dyDescent="0.35">
      <c r="A23" s="14"/>
      <c r="B23" s="158" t="s">
        <v>435</v>
      </c>
      <c r="C23" s="184"/>
      <c r="D23" s="184"/>
      <c r="E23" s="184"/>
      <c r="F23" s="292"/>
      <c r="G23" s="1"/>
      <c r="H23" s="1"/>
    </row>
    <row r="24" spans="1:8" s="256" customFormat="1" ht="46.8" x14ac:dyDescent="0.3">
      <c r="A24" s="14"/>
      <c r="B24" s="177" t="s">
        <v>437</v>
      </c>
      <c r="C24" s="98">
        <f>'Приложение 1'!G33</f>
        <v>14584560</v>
      </c>
      <c r="D24" s="98">
        <f>C24*30.2/100</f>
        <v>4404537.12</v>
      </c>
      <c r="E24" s="98">
        <f>'Приложение 1'!H33</f>
        <v>2538028</v>
      </c>
      <c r="F24" s="98">
        <f>E24*30.2/100</f>
        <v>766484.46</v>
      </c>
      <c r="G24" s="1"/>
      <c r="H24" s="1"/>
    </row>
    <row r="25" spans="1:8" s="256" customFormat="1" ht="46.8" x14ac:dyDescent="0.3">
      <c r="A25" s="14"/>
      <c r="B25" s="177" t="s">
        <v>436</v>
      </c>
      <c r="C25" s="98">
        <f>'Приложение 1'!G34</f>
        <v>13595509</v>
      </c>
      <c r="D25" s="98">
        <f>D22-D24</f>
        <v>4105843.88</v>
      </c>
      <c r="E25" s="98">
        <f>'Приложение 1'!H34</f>
        <v>2223203</v>
      </c>
      <c r="F25" s="98">
        <f>F22-F24</f>
        <v>671406.34</v>
      </c>
      <c r="G25" s="1"/>
      <c r="H25" s="1"/>
    </row>
    <row r="26" spans="1:8" s="1" customFormat="1" x14ac:dyDescent="0.3">
      <c r="A26" s="237"/>
      <c r="B26" s="239"/>
    </row>
    <row r="27" spans="1:8" s="1" customFormat="1" ht="15.75" customHeight="1" x14ac:dyDescent="0.3">
      <c r="A27" s="673" t="s">
        <v>495</v>
      </c>
      <c r="B27" s="673"/>
      <c r="C27" s="673"/>
      <c r="D27" s="673"/>
      <c r="E27" s="673"/>
      <c r="F27" s="673"/>
    </row>
    <row r="28" spans="1:8" s="1" customFormat="1" x14ac:dyDescent="0.3">
      <c r="A28" s="673"/>
      <c r="B28" s="673"/>
      <c r="C28" s="673"/>
      <c r="D28" s="673"/>
      <c r="E28" s="673"/>
      <c r="F28" s="673"/>
    </row>
    <row r="29" spans="1:8" s="1" customFormat="1" x14ac:dyDescent="0.3">
      <c r="A29" s="673"/>
      <c r="B29" s="673"/>
      <c r="C29" s="673"/>
      <c r="D29" s="673"/>
      <c r="E29" s="673"/>
      <c r="F29" s="673"/>
    </row>
  </sheetData>
  <mergeCells count="9">
    <mergeCell ref="A27:F29"/>
    <mergeCell ref="A2:F2"/>
    <mergeCell ref="A3:F3"/>
    <mergeCell ref="A4:F4"/>
    <mergeCell ref="A6:F6"/>
    <mergeCell ref="C8:D8"/>
    <mergeCell ref="E8:F8"/>
    <mergeCell ref="A8:A9"/>
    <mergeCell ref="B8:B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2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zoomScale="80" zoomScaleNormal="80" workbookViewId="0">
      <selection activeCell="G10" sqref="G10"/>
    </sheetView>
  </sheetViews>
  <sheetFormatPr defaultColWidth="9.109375" defaultRowHeight="15.6" x14ac:dyDescent="0.3"/>
  <cols>
    <col min="1" max="1" width="4.6640625" style="1" customWidth="1"/>
    <col min="2" max="2" width="41.6640625" style="1" customWidth="1"/>
    <col min="3" max="5" width="15.6640625" style="1" customWidth="1"/>
    <col min="6" max="7" width="15.6640625" style="57" customWidth="1"/>
    <col min="8" max="16384" width="9.109375" style="57"/>
  </cols>
  <sheetData>
    <row r="2" spans="1:7" s="59" customFormat="1" ht="18" x14ac:dyDescent="0.35">
      <c r="A2" s="518" t="s">
        <v>568</v>
      </c>
      <c r="B2" s="518"/>
      <c r="C2" s="518"/>
      <c r="D2" s="518"/>
      <c r="E2" s="518"/>
      <c r="F2" s="518"/>
      <c r="G2" s="518"/>
    </row>
    <row r="3" spans="1:7" x14ac:dyDescent="0.3">
      <c r="A3" s="199"/>
      <c r="B3" s="199"/>
      <c r="C3" s="199"/>
      <c r="D3" s="199"/>
      <c r="E3" s="199"/>
    </row>
    <row r="4" spans="1:7" x14ac:dyDescent="0.3">
      <c r="A4" s="641" t="s">
        <v>533</v>
      </c>
      <c r="B4" s="641"/>
      <c r="C4" s="641"/>
      <c r="D4" s="641"/>
      <c r="E4" s="641"/>
      <c r="F4" s="641"/>
      <c r="G4" s="641"/>
    </row>
    <row r="6" spans="1:7" ht="30.75" customHeight="1" x14ac:dyDescent="0.3">
      <c r="A6" s="522" t="s">
        <v>1</v>
      </c>
      <c r="B6" s="522" t="s">
        <v>2</v>
      </c>
      <c r="C6" s="522" t="s">
        <v>531</v>
      </c>
      <c r="D6" s="522" t="s">
        <v>377</v>
      </c>
      <c r="E6" s="522" t="s">
        <v>537</v>
      </c>
      <c r="F6" s="639" t="s">
        <v>396</v>
      </c>
      <c r="G6" s="639"/>
    </row>
    <row r="7" spans="1:7" s="58" customFormat="1" ht="78" x14ac:dyDescent="0.3">
      <c r="A7" s="522"/>
      <c r="B7" s="522"/>
      <c r="C7" s="522"/>
      <c r="D7" s="522"/>
      <c r="E7" s="522"/>
      <c r="F7" s="196" t="s">
        <v>401</v>
      </c>
      <c r="G7" s="196" t="s">
        <v>402</v>
      </c>
    </row>
    <row r="8" spans="1:7" s="58" customFormat="1" x14ac:dyDescent="0.3">
      <c r="A8" s="169">
        <v>1</v>
      </c>
      <c r="B8" s="169">
        <v>2</v>
      </c>
      <c r="C8" s="169">
        <v>3</v>
      </c>
      <c r="D8" s="169">
        <v>4</v>
      </c>
      <c r="E8" s="169" t="s">
        <v>538</v>
      </c>
      <c r="F8" s="198">
        <v>6</v>
      </c>
      <c r="G8" s="198">
        <v>7</v>
      </c>
    </row>
    <row r="9" spans="1:7" x14ac:dyDescent="0.3">
      <c r="A9" s="670" t="s">
        <v>682</v>
      </c>
      <c r="B9" s="671"/>
      <c r="C9" s="671"/>
      <c r="D9" s="671"/>
      <c r="E9" s="671"/>
      <c r="F9" s="671"/>
      <c r="G9" s="671"/>
    </row>
    <row r="10" spans="1:7" ht="124.8" x14ac:dyDescent="0.3">
      <c r="A10" s="202">
        <v>1</v>
      </c>
      <c r="B10" s="177" t="s">
        <v>678</v>
      </c>
      <c r="C10" s="168"/>
      <c r="D10" s="168"/>
      <c r="E10" s="168">
        <f t="shared" ref="E10:E11" si="0">C10*D10</f>
        <v>0</v>
      </c>
      <c r="F10" s="168"/>
      <c r="G10" s="168"/>
    </row>
    <row r="11" spans="1:7" ht="109.2" x14ac:dyDescent="0.3">
      <c r="A11" s="202">
        <v>2</v>
      </c>
      <c r="B11" s="177" t="s">
        <v>679</v>
      </c>
      <c r="C11" s="168"/>
      <c r="D11" s="168"/>
      <c r="E11" s="168">
        <f t="shared" si="0"/>
        <v>0</v>
      </c>
      <c r="F11" s="168"/>
      <c r="G11" s="168"/>
    </row>
    <row r="12" spans="1:7" x14ac:dyDescent="0.3">
      <c r="A12" s="202"/>
      <c r="B12" s="177"/>
      <c r="C12" s="168"/>
      <c r="D12" s="168"/>
      <c r="E12" s="168">
        <f>C12*D12</f>
        <v>0</v>
      </c>
      <c r="F12" s="168"/>
      <c r="G12" s="168"/>
    </row>
    <row r="13" spans="1:7" s="58" customFormat="1" x14ac:dyDescent="0.3">
      <c r="A13" s="241"/>
      <c r="B13" s="243" t="s">
        <v>385</v>
      </c>
      <c r="C13" s="238" t="s">
        <v>24</v>
      </c>
      <c r="D13" s="238" t="s">
        <v>24</v>
      </c>
      <c r="E13" s="154">
        <f>SUM(E10:E12)</f>
        <v>0</v>
      </c>
      <c r="F13" s="154">
        <f>SUM(F10:F12)</f>
        <v>0</v>
      </c>
      <c r="G13" s="154">
        <f>SUM(G10:G12)</f>
        <v>0</v>
      </c>
    </row>
  </sheetData>
  <mergeCells count="9">
    <mergeCell ref="A9:G9"/>
    <mergeCell ref="A2:G2"/>
    <mergeCell ref="A4:G4"/>
    <mergeCell ref="F6:G6"/>
    <mergeCell ref="A6:A7"/>
    <mergeCell ref="B6:B7"/>
    <mergeCell ref="C6:C7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4" zoomScale="80" zoomScaleNormal="80" workbookViewId="0">
      <selection activeCell="H8" sqref="H8"/>
    </sheetView>
  </sheetViews>
  <sheetFormatPr defaultColWidth="9.109375" defaultRowHeight="15.6" x14ac:dyDescent="0.3"/>
  <cols>
    <col min="1" max="1" width="4.6640625" style="1" customWidth="1"/>
    <col min="2" max="2" width="43.6640625" style="1" customWidth="1"/>
    <col min="3" max="3" width="16.88671875" style="1" customWidth="1"/>
    <col min="4" max="6" width="15.6640625" style="1" customWidth="1"/>
    <col min="7" max="16384" width="9.109375" style="57"/>
  </cols>
  <sheetData>
    <row r="1" spans="1:6" x14ac:dyDescent="0.3">
      <c r="A1" s="641" t="s">
        <v>496</v>
      </c>
      <c r="B1" s="641"/>
      <c r="C1" s="641"/>
      <c r="D1" s="641"/>
      <c r="E1" s="641"/>
      <c r="F1" s="641"/>
    </row>
    <row r="2" spans="1:6" x14ac:dyDescent="0.3">
      <c r="A2" s="641" t="s">
        <v>891</v>
      </c>
      <c r="B2" s="641"/>
      <c r="C2" s="641"/>
      <c r="D2" s="641"/>
      <c r="E2" s="641"/>
      <c r="F2" s="641"/>
    </row>
    <row r="4" spans="1:6" s="58" customFormat="1" ht="62.4" x14ac:dyDescent="0.3">
      <c r="A4" s="317" t="s">
        <v>1</v>
      </c>
      <c r="B4" s="317" t="s">
        <v>2</v>
      </c>
      <c r="C4" s="317" t="s">
        <v>534</v>
      </c>
      <c r="D4" s="317" t="s">
        <v>531</v>
      </c>
      <c r="E4" s="317" t="s">
        <v>377</v>
      </c>
      <c r="F4" s="317" t="s">
        <v>537</v>
      </c>
    </row>
    <row r="5" spans="1:6" s="58" customFormat="1" x14ac:dyDescent="0.3">
      <c r="A5" s="316">
        <v>1</v>
      </c>
      <c r="B5" s="316">
        <v>2</v>
      </c>
      <c r="C5" s="316">
        <v>3</v>
      </c>
      <c r="D5" s="316">
        <v>4</v>
      </c>
      <c r="E5" s="316">
        <v>5</v>
      </c>
      <c r="F5" s="316" t="s">
        <v>536</v>
      </c>
    </row>
    <row r="6" spans="1:6" ht="62.4" x14ac:dyDescent="0.3">
      <c r="A6" s="14">
        <v>1</v>
      </c>
      <c r="B6" s="177" t="s">
        <v>535</v>
      </c>
      <c r="C6" s="244">
        <v>554</v>
      </c>
      <c r="D6" s="315">
        <v>487</v>
      </c>
      <c r="E6" s="244">
        <v>12</v>
      </c>
      <c r="F6" s="315">
        <f>C6*D6*E6</f>
        <v>3237576</v>
      </c>
    </row>
    <row r="7" spans="1:6" ht="93.6" x14ac:dyDescent="0.3">
      <c r="A7" s="14">
        <v>2</v>
      </c>
      <c r="B7" s="177" t="s">
        <v>539</v>
      </c>
      <c r="C7" s="244">
        <f>SUM(C8:C9)</f>
        <v>191</v>
      </c>
      <c r="D7" s="315">
        <v>730</v>
      </c>
      <c r="E7" s="244">
        <v>12</v>
      </c>
      <c r="F7" s="315">
        <f>C7*D7*E7</f>
        <v>1673160</v>
      </c>
    </row>
    <row r="8" spans="1:6" ht="31.2" x14ac:dyDescent="0.3">
      <c r="A8" s="14" t="s">
        <v>524</v>
      </c>
      <c r="B8" s="210" t="s">
        <v>540</v>
      </c>
      <c r="C8" s="244">
        <v>32</v>
      </c>
      <c r="D8" s="315">
        <v>730</v>
      </c>
      <c r="E8" s="244">
        <v>12</v>
      </c>
      <c r="F8" s="315">
        <f>C8*D8*E8</f>
        <v>280320</v>
      </c>
    </row>
    <row r="9" spans="1:6" x14ac:dyDescent="0.3">
      <c r="A9" s="14" t="s">
        <v>525</v>
      </c>
      <c r="B9" s="210" t="s">
        <v>392</v>
      </c>
      <c r="C9" s="244">
        <v>159</v>
      </c>
      <c r="D9" s="315">
        <v>730</v>
      </c>
      <c r="E9" s="244">
        <v>12</v>
      </c>
      <c r="F9" s="315">
        <f>C9*D9*E9</f>
        <v>1392840</v>
      </c>
    </row>
    <row r="10" spans="1:6" x14ac:dyDescent="0.3">
      <c r="A10" s="13"/>
      <c r="B10" s="322" t="s">
        <v>892</v>
      </c>
      <c r="C10" s="238" t="s">
        <v>24</v>
      </c>
      <c r="D10" s="238" t="s">
        <v>24</v>
      </c>
      <c r="E10" s="238" t="s">
        <v>24</v>
      </c>
      <c r="F10" s="154">
        <f>F6+F7</f>
        <v>4910736</v>
      </c>
    </row>
    <row r="11" spans="1:6" ht="31.2" x14ac:dyDescent="0.3">
      <c r="A11" s="14" t="s">
        <v>485</v>
      </c>
      <c r="B11" s="197" t="s">
        <v>541</v>
      </c>
      <c r="C11" s="244">
        <v>25</v>
      </c>
      <c r="D11" s="315">
        <v>487</v>
      </c>
      <c r="E11" s="244">
        <v>12</v>
      </c>
      <c r="F11" s="315">
        <f>C11*D11*E11</f>
        <v>146100</v>
      </c>
    </row>
    <row r="12" spans="1:6" s="58" customFormat="1" ht="31.2" x14ac:dyDescent="0.3">
      <c r="A12" s="14" t="s">
        <v>424</v>
      </c>
      <c r="B12" s="197" t="s">
        <v>542</v>
      </c>
      <c r="C12" s="244"/>
      <c r="D12" s="315">
        <v>730</v>
      </c>
      <c r="E12" s="244">
        <v>12</v>
      </c>
      <c r="F12" s="315">
        <f t="shared" ref="F12:F13" si="0">C12*D12*E12</f>
        <v>0</v>
      </c>
    </row>
    <row r="13" spans="1:6" ht="46.8" x14ac:dyDescent="0.3">
      <c r="A13" s="14" t="s">
        <v>427</v>
      </c>
      <c r="B13" s="197" t="s">
        <v>893</v>
      </c>
      <c r="C13" s="244"/>
      <c r="D13" s="315">
        <v>50</v>
      </c>
      <c r="E13" s="244"/>
      <c r="F13" s="315">
        <f t="shared" si="0"/>
        <v>0</v>
      </c>
    </row>
    <row r="14" spans="1:6" x14ac:dyDescent="0.3">
      <c r="A14" s="13"/>
      <c r="B14" s="322" t="s">
        <v>894</v>
      </c>
      <c r="C14" s="238" t="s">
        <v>24</v>
      </c>
      <c r="D14" s="238" t="s">
        <v>24</v>
      </c>
      <c r="E14" s="238" t="s">
        <v>24</v>
      </c>
      <c r="F14" s="154">
        <f>F11+F12+F13</f>
        <v>146100</v>
      </c>
    </row>
    <row r="15" spans="1:6" ht="78" x14ac:dyDescent="0.3">
      <c r="A15" s="14" t="s">
        <v>427</v>
      </c>
      <c r="B15" s="197" t="s">
        <v>895</v>
      </c>
      <c r="C15" s="244"/>
      <c r="D15" s="315"/>
      <c r="E15" s="244"/>
      <c r="F15" s="315">
        <f>F10*0.25</f>
        <v>1227684</v>
      </c>
    </row>
    <row r="16" spans="1:6" ht="78" x14ac:dyDescent="0.3">
      <c r="A16" s="14" t="s">
        <v>429</v>
      </c>
      <c r="B16" s="197" t="s">
        <v>543</v>
      </c>
      <c r="C16" s="244"/>
      <c r="D16" s="315"/>
      <c r="E16" s="244"/>
      <c r="F16" s="315">
        <f>F10/12</f>
        <v>409228</v>
      </c>
    </row>
    <row r="18" spans="1:6" x14ac:dyDescent="0.3">
      <c r="A18" s="641" t="s">
        <v>544</v>
      </c>
      <c r="B18" s="641"/>
      <c r="C18" s="641"/>
      <c r="D18" s="641"/>
      <c r="E18" s="641"/>
      <c r="F18" s="641"/>
    </row>
    <row r="19" spans="1:6" x14ac:dyDescent="0.3">
      <c r="F19" s="57"/>
    </row>
    <row r="20" spans="1:6" ht="62.4" x14ac:dyDescent="0.3">
      <c r="A20" s="317" t="s">
        <v>1</v>
      </c>
      <c r="B20" s="317" t="s">
        <v>2</v>
      </c>
      <c r="C20" s="317" t="s">
        <v>534</v>
      </c>
      <c r="D20" s="317" t="s">
        <v>531</v>
      </c>
      <c r="E20" s="317" t="s">
        <v>377</v>
      </c>
      <c r="F20" s="317" t="s">
        <v>537</v>
      </c>
    </row>
    <row r="21" spans="1:6" x14ac:dyDescent="0.3">
      <c r="A21" s="316">
        <v>1</v>
      </c>
      <c r="B21" s="316">
        <v>2</v>
      </c>
      <c r="C21" s="316">
        <v>3</v>
      </c>
      <c r="D21" s="316">
        <v>4</v>
      </c>
      <c r="E21" s="316">
        <v>5</v>
      </c>
      <c r="F21" s="316" t="s">
        <v>536</v>
      </c>
    </row>
    <row r="22" spans="1:6" ht="93.6" x14ac:dyDescent="0.3">
      <c r="A22" s="202">
        <v>1</v>
      </c>
      <c r="B22" s="177" t="s">
        <v>729</v>
      </c>
      <c r="C22" s="178">
        <v>344</v>
      </c>
      <c r="D22" s="315">
        <v>20</v>
      </c>
      <c r="E22" s="244">
        <f>F22/C22/D22</f>
        <v>49</v>
      </c>
      <c r="F22" s="315">
        <v>338496</v>
      </c>
    </row>
    <row r="23" spans="1:6" ht="78" x14ac:dyDescent="0.3">
      <c r="A23" s="202">
        <v>2</v>
      </c>
      <c r="B23" s="177" t="s">
        <v>730</v>
      </c>
      <c r="C23" s="178">
        <v>26</v>
      </c>
      <c r="D23" s="315">
        <v>121.3</v>
      </c>
      <c r="E23" s="244">
        <f>F23/C23/D23</f>
        <v>37</v>
      </c>
      <c r="F23" s="315">
        <v>116375.22</v>
      </c>
    </row>
    <row r="24" spans="1:6" x14ac:dyDescent="0.3">
      <c r="A24" s="325"/>
      <c r="B24" s="322" t="s">
        <v>385</v>
      </c>
      <c r="C24" s="322"/>
      <c r="D24" s="238" t="s">
        <v>24</v>
      </c>
      <c r="E24" s="238" t="s">
        <v>24</v>
      </c>
      <c r="F24" s="154">
        <f>SUM(F22:F23)</f>
        <v>454871.22</v>
      </c>
    </row>
    <row r="25" spans="1:6" x14ac:dyDescent="0.3">
      <c r="F25" s="57"/>
    </row>
  </sheetData>
  <mergeCells count="3">
    <mergeCell ref="A18:F18"/>
    <mergeCell ref="A1:F1"/>
    <mergeCell ref="A2:F2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28" zoomScale="80" zoomScaleNormal="80" workbookViewId="0">
      <selection activeCell="G9" sqref="G9"/>
    </sheetView>
  </sheetViews>
  <sheetFormatPr defaultColWidth="9.109375" defaultRowHeight="15.6" x14ac:dyDescent="0.3"/>
  <cols>
    <col min="1" max="1" width="4.6640625" style="1" customWidth="1"/>
    <col min="2" max="2" width="60.6640625" style="1" customWidth="1"/>
    <col min="3" max="5" width="15.6640625" style="1" customWidth="1"/>
    <col min="6" max="7" width="15.6640625" style="57" customWidth="1"/>
    <col min="8" max="16384" width="9.109375" style="57"/>
  </cols>
  <sheetData>
    <row r="1" spans="1:7" s="59" customFormat="1" ht="18" x14ac:dyDescent="0.35">
      <c r="A1" s="518" t="s">
        <v>569</v>
      </c>
      <c r="B1" s="518"/>
      <c r="C1" s="518"/>
      <c r="D1" s="518"/>
      <c r="E1" s="518"/>
      <c r="F1" s="518"/>
      <c r="G1" s="518"/>
    </row>
    <row r="2" spans="1:7" x14ac:dyDescent="0.3">
      <c r="A2" s="301"/>
      <c r="B2" s="301"/>
      <c r="C2" s="301"/>
      <c r="D2" s="301"/>
      <c r="E2" s="301"/>
    </row>
    <row r="3" spans="1:7" x14ac:dyDescent="0.3">
      <c r="A3" s="641" t="s">
        <v>553</v>
      </c>
      <c r="B3" s="641"/>
      <c r="C3" s="641"/>
      <c r="D3" s="641"/>
      <c r="E3" s="641"/>
      <c r="F3" s="641"/>
      <c r="G3" s="641"/>
    </row>
    <row r="5" spans="1:7" ht="31.5" customHeight="1" x14ac:dyDescent="0.3">
      <c r="A5" s="522" t="s">
        <v>489</v>
      </c>
      <c r="B5" s="522" t="s">
        <v>469</v>
      </c>
      <c r="C5" s="522" t="s">
        <v>531</v>
      </c>
      <c r="D5" s="522" t="s">
        <v>377</v>
      </c>
      <c r="E5" s="522" t="s">
        <v>537</v>
      </c>
      <c r="F5" s="639" t="s">
        <v>396</v>
      </c>
      <c r="G5" s="639"/>
    </row>
    <row r="6" spans="1:7" ht="78" x14ac:dyDescent="0.3">
      <c r="A6" s="522"/>
      <c r="B6" s="522"/>
      <c r="C6" s="522"/>
      <c r="D6" s="522"/>
      <c r="E6" s="522"/>
      <c r="F6" s="300" t="s">
        <v>401</v>
      </c>
      <c r="G6" s="300" t="s">
        <v>402</v>
      </c>
    </row>
    <row r="7" spans="1:7" x14ac:dyDescent="0.3">
      <c r="A7" s="293">
        <v>1</v>
      </c>
      <c r="B7" s="293">
        <v>2</v>
      </c>
      <c r="C7" s="293">
        <v>3</v>
      </c>
      <c r="D7" s="293">
        <v>4</v>
      </c>
      <c r="E7" s="293" t="s">
        <v>538</v>
      </c>
      <c r="F7" s="198">
        <v>6</v>
      </c>
      <c r="G7" s="198">
        <v>7</v>
      </c>
    </row>
    <row r="8" spans="1:7" ht="31.2" x14ac:dyDescent="0.3">
      <c r="A8" s="202">
        <v>1</v>
      </c>
      <c r="B8" s="177" t="s">
        <v>554</v>
      </c>
      <c r="C8" s="292">
        <v>15068</v>
      </c>
      <c r="D8" s="292">
        <v>10</v>
      </c>
      <c r="E8" s="292">
        <f>C8*D8</f>
        <v>150680</v>
      </c>
      <c r="F8" s="378"/>
      <c r="G8" s="292">
        <f>52623.42-G9</f>
        <v>47623.42</v>
      </c>
    </row>
    <row r="9" spans="1:7" ht="46.8" x14ac:dyDescent="0.3">
      <c r="A9" s="202">
        <v>2</v>
      </c>
      <c r="B9" s="177" t="s">
        <v>555</v>
      </c>
      <c r="C9" s="292">
        <v>2000</v>
      </c>
      <c r="D9" s="292">
        <v>10</v>
      </c>
      <c r="E9" s="292">
        <f>C9*D9</f>
        <v>20000</v>
      </c>
      <c r="F9" s="378"/>
      <c r="G9" s="292">
        <v>5000</v>
      </c>
    </row>
    <row r="10" spans="1:7" s="58" customFormat="1" x14ac:dyDescent="0.3">
      <c r="A10" s="303"/>
      <c r="B10" s="299" t="s">
        <v>385</v>
      </c>
      <c r="C10" s="238"/>
      <c r="D10" s="238" t="s">
        <v>24</v>
      </c>
      <c r="E10" s="154">
        <f>SUM(E8:E9)</f>
        <v>170680</v>
      </c>
      <c r="F10" s="379">
        <f>SUM(F8:F9)</f>
        <v>0</v>
      </c>
      <c r="G10" s="154">
        <f>SUM(G8:G9)</f>
        <v>52623.42</v>
      </c>
    </row>
    <row r="12" spans="1:7" x14ac:dyDescent="0.3">
      <c r="A12" s="641" t="s">
        <v>545</v>
      </c>
      <c r="B12" s="641"/>
      <c r="C12" s="641"/>
      <c r="D12" s="641"/>
      <c r="E12" s="641"/>
      <c r="F12" s="641"/>
      <c r="G12" s="641"/>
    </row>
    <row r="14" spans="1:7" ht="31.5" customHeight="1" x14ac:dyDescent="0.3">
      <c r="A14" s="522" t="s">
        <v>489</v>
      </c>
      <c r="B14" s="522" t="s">
        <v>469</v>
      </c>
      <c r="C14" s="522" t="s">
        <v>498</v>
      </c>
      <c r="D14" s="522" t="s">
        <v>499</v>
      </c>
      <c r="E14" s="522" t="s">
        <v>547</v>
      </c>
      <c r="F14" s="639" t="s">
        <v>396</v>
      </c>
      <c r="G14" s="639"/>
    </row>
    <row r="15" spans="1:7" ht="78" x14ac:dyDescent="0.3">
      <c r="A15" s="522"/>
      <c r="B15" s="522"/>
      <c r="C15" s="522"/>
      <c r="D15" s="522"/>
      <c r="E15" s="522"/>
      <c r="F15" s="300" t="s">
        <v>401</v>
      </c>
      <c r="G15" s="300" t="s">
        <v>402</v>
      </c>
    </row>
    <row r="16" spans="1:7" x14ac:dyDescent="0.3">
      <c r="A16" s="293">
        <v>1</v>
      </c>
      <c r="B16" s="293">
        <v>2</v>
      </c>
      <c r="C16" s="293">
        <v>3</v>
      </c>
      <c r="D16" s="293">
        <v>4</v>
      </c>
      <c r="E16" s="293" t="s">
        <v>546</v>
      </c>
      <c r="F16" s="198">
        <v>6</v>
      </c>
      <c r="G16" s="198">
        <v>7</v>
      </c>
    </row>
    <row r="17" spans="1:7" x14ac:dyDescent="0.3">
      <c r="A17" s="670" t="s">
        <v>748</v>
      </c>
      <c r="B17" s="671"/>
      <c r="C17" s="671"/>
      <c r="D17" s="671"/>
      <c r="E17" s="671"/>
      <c r="F17" s="671"/>
      <c r="G17" s="671"/>
    </row>
    <row r="18" spans="1:7" ht="62.4" x14ac:dyDescent="0.3">
      <c r="A18" s="202">
        <v>1</v>
      </c>
      <c r="B18" s="177" t="s">
        <v>815</v>
      </c>
      <c r="C18" s="292">
        <f>89835012.14-79867586.92</f>
        <v>9967425.2200000007</v>
      </c>
      <c r="D18" s="292">
        <v>2.2000000000000002</v>
      </c>
      <c r="E18" s="292">
        <f>C18*D18/100</f>
        <v>219283.35</v>
      </c>
      <c r="F18" s="292">
        <v>208922.35</v>
      </c>
      <c r="G18" s="292">
        <v>10361</v>
      </c>
    </row>
    <row r="19" spans="1:7" x14ac:dyDescent="0.3">
      <c r="A19" s="202">
        <v>2</v>
      </c>
      <c r="B19" s="177" t="s">
        <v>548</v>
      </c>
      <c r="C19" s="292">
        <v>91856920</v>
      </c>
      <c r="D19" s="292">
        <v>1.5</v>
      </c>
      <c r="E19" s="292">
        <f t="shared" ref="E19:E22" si="0">C19*D19/100</f>
        <v>1377853.8</v>
      </c>
      <c r="F19" s="292">
        <v>1277853.8</v>
      </c>
      <c r="G19" s="292">
        <v>100000</v>
      </c>
    </row>
    <row r="20" spans="1:7" x14ac:dyDescent="0.3">
      <c r="A20" s="202">
        <v>3</v>
      </c>
      <c r="B20" s="177" t="s">
        <v>548</v>
      </c>
      <c r="C20" s="292"/>
      <c r="D20" s="292">
        <v>1.25</v>
      </c>
      <c r="E20" s="292">
        <f t="shared" si="0"/>
        <v>0</v>
      </c>
      <c r="F20" s="292"/>
      <c r="G20" s="292"/>
    </row>
    <row r="21" spans="1:7" x14ac:dyDescent="0.3">
      <c r="A21" s="202">
        <v>4</v>
      </c>
      <c r="B21" s="177" t="s">
        <v>548</v>
      </c>
      <c r="C21" s="292">
        <v>5483800</v>
      </c>
      <c r="D21" s="292">
        <v>0.3</v>
      </c>
      <c r="E21" s="292">
        <f t="shared" si="0"/>
        <v>16451.400000000001</v>
      </c>
      <c r="F21" s="292">
        <v>16541.400000000001</v>
      </c>
      <c r="G21" s="292"/>
    </row>
    <row r="22" spans="1:7" x14ac:dyDescent="0.3">
      <c r="A22" s="202">
        <v>5</v>
      </c>
      <c r="B22" s="177" t="s">
        <v>548</v>
      </c>
      <c r="C22" s="292"/>
      <c r="D22" s="292"/>
      <c r="E22" s="292">
        <f t="shared" si="0"/>
        <v>0</v>
      </c>
      <c r="F22" s="292"/>
      <c r="G22" s="292"/>
    </row>
    <row r="23" spans="1:7" s="58" customFormat="1" x14ac:dyDescent="0.3">
      <c r="A23" s="303"/>
      <c r="B23" s="299" t="s">
        <v>385</v>
      </c>
      <c r="C23" s="238"/>
      <c r="D23" s="238" t="s">
        <v>24</v>
      </c>
      <c r="E23" s="154">
        <f>SUM(E18:E22)</f>
        <v>1613588.55</v>
      </c>
      <c r="F23" s="154">
        <f t="shared" ref="F23:G23" si="1">SUM(F18:F22)</f>
        <v>1503317.55</v>
      </c>
      <c r="G23" s="154">
        <f t="shared" si="1"/>
        <v>110361</v>
      </c>
    </row>
    <row r="25" spans="1:7" x14ac:dyDescent="0.3">
      <c r="A25" s="641" t="s">
        <v>550</v>
      </c>
      <c r="B25" s="641"/>
      <c r="C25" s="641"/>
      <c r="D25" s="641"/>
      <c r="E25" s="641"/>
      <c r="F25" s="641"/>
      <c r="G25" s="641"/>
    </row>
    <row r="27" spans="1:7" ht="31.5" customHeight="1" x14ac:dyDescent="0.3">
      <c r="A27" s="522" t="s">
        <v>489</v>
      </c>
      <c r="B27" s="522" t="s">
        <v>469</v>
      </c>
      <c r="C27" s="522" t="s">
        <v>531</v>
      </c>
      <c r="D27" s="522" t="s">
        <v>377</v>
      </c>
      <c r="E27" s="522" t="s">
        <v>537</v>
      </c>
      <c r="F27" s="639" t="s">
        <v>396</v>
      </c>
      <c r="G27" s="639"/>
    </row>
    <row r="28" spans="1:7" ht="78" x14ac:dyDescent="0.3">
      <c r="A28" s="522"/>
      <c r="B28" s="522"/>
      <c r="C28" s="522"/>
      <c r="D28" s="522"/>
      <c r="E28" s="522"/>
      <c r="F28" s="300" t="s">
        <v>401</v>
      </c>
      <c r="G28" s="300" t="s">
        <v>402</v>
      </c>
    </row>
    <row r="29" spans="1:7" x14ac:dyDescent="0.3">
      <c r="A29" s="293">
        <v>1</v>
      </c>
      <c r="B29" s="293">
        <v>2</v>
      </c>
      <c r="C29" s="293">
        <v>3</v>
      </c>
      <c r="D29" s="293">
        <v>4</v>
      </c>
      <c r="E29" s="293" t="s">
        <v>538</v>
      </c>
      <c r="F29" s="198">
        <v>6</v>
      </c>
      <c r="G29" s="198">
        <v>7</v>
      </c>
    </row>
    <row r="30" spans="1:7" x14ac:dyDescent="0.3">
      <c r="A30" s="670" t="s">
        <v>748</v>
      </c>
      <c r="B30" s="671"/>
      <c r="C30" s="671"/>
      <c r="D30" s="671"/>
      <c r="E30" s="671"/>
      <c r="F30" s="671"/>
      <c r="G30" s="671"/>
    </row>
    <row r="31" spans="1:7" x14ac:dyDescent="0.3">
      <c r="A31" s="202">
        <v>1</v>
      </c>
      <c r="B31" s="177" t="s">
        <v>549</v>
      </c>
      <c r="C31" s="292">
        <v>49780</v>
      </c>
      <c r="D31" s="292">
        <v>4</v>
      </c>
      <c r="E31" s="292">
        <f>C31*D31</f>
        <v>199120</v>
      </c>
      <c r="F31" s="292">
        <v>169120</v>
      </c>
      <c r="G31" s="292">
        <v>30000</v>
      </c>
    </row>
    <row r="32" spans="1:7" x14ac:dyDescent="0.3">
      <c r="A32" s="670" t="s">
        <v>681</v>
      </c>
      <c r="B32" s="671"/>
      <c r="C32" s="671"/>
      <c r="D32" s="671"/>
      <c r="E32" s="671"/>
      <c r="F32" s="671"/>
      <c r="G32" s="671"/>
    </row>
    <row r="33" spans="1:7" ht="31.2" x14ac:dyDescent="0.3">
      <c r="A33" s="202">
        <v>1</v>
      </c>
      <c r="B33" s="177" t="s">
        <v>638</v>
      </c>
      <c r="C33" s="292"/>
      <c r="D33" s="292"/>
      <c r="E33" s="292">
        <f>C33*D33</f>
        <v>0</v>
      </c>
      <c r="F33" s="292"/>
      <c r="G33" s="292"/>
    </row>
    <row r="34" spans="1:7" x14ac:dyDescent="0.3">
      <c r="A34" s="202">
        <v>2</v>
      </c>
      <c r="B34" s="177" t="s">
        <v>551</v>
      </c>
      <c r="C34" s="292">
        <v>7</v>
      </c>
      <c r="D34" s="292">
        <v>35000</v>
      </c>
      <c r="E34" s="292">
        <f>C34*D34</f>
        <v>245000</v>
      </c>
      <c r="F34" s="292">
        <v>245000</v>
      </c>
      <c r="G34" s="292"/>
    </row>
    <row r="35" spans="1:7" x14ac:dyDescent="0.3">
      <c r="A35" s="674" t="s">
        <v>634</v>
      </c>
      <c r="B35" s="675"/>
      <c r="C35" s="675"/>
      <c r="D35" s="675"/>
      <c r="E35" s="675"/>
      <c r="F35" s="675"/>
      <c r="G35" s="675"/>
    </row>
    <row r="36" spans="1:7" x14ac:dyDescent="0.3">
      <c r="A36" s="202">
        <v>1</v>
      </c>
      <c r="B36" s="177" t="s">
        <v>556</v>
      </c>
      <c r="C36" s="292">
        <v>1000</v>
      </c>
      <c r="D36" s="292">
        <v>5</v>
      </c>
      <c r="E36" s="292">
        <f>C36*D36</f>
        <v>5000</v>
      </c>
      <c r="F36" s="292">
        <v>5000</v>
      </c>
      <c r="G36" s="292"/>
    </row>
    <row r="37" spans="1:7" x14ac:dyDescent="0.3">
      <c r="A37" s="202">
        <v>2</v>
      </c>
      <c r="B37" s="177" t="s">
        <v>816</v>
      </c>
      <c r="C37" s="292">
        <v>1</v>
      </c>
      <c r="D37" s="292">
        <v>12800</v>
      </c>
      <c r="E37" s="292">
        <f>C37*D37</f>
        <v>12800</v>
      </c>
      <c r="F37" s="292">
        <v>12800</v>
      </c>
      <c r="G37" s="292"/>
    </row>
    <row r="38" spans="1:7" s="58" customFormat="1" x14ac:dyDescent="0.3">
      <c r="A38" s="303"/>
      <c r="B38" s="299" t="s">
        <v>385</v>
      </c>
      <c r="C38" s="238"/>
      <c r="D38" s="238" t="s">
        <v>24</v>
      </c>
      <c r="E38" s="154">
        <f>SUM(E31:E37)</f>
        <v>461920</v>
      </c>
      <c r="F38" s="154">
        <f>SUM(F31:F37)</f>
        <v>431920</v>
      </c>
      <c r="G38" s="154">
        <f>SUM(G31:G37)</f>
        <v>30000</v>
      </c>
    </row>
    <row r="40" spans="1:7" x14ac:dyDescent="0.3">
      <c r="A40" s="641" t="s">
        <v>552</v>
      </c>
      <c r="B40" s="641"/>
      <c r="C40" s="641"/>
      <c r="D40" s="641"/>
      <c r="E40" s="641"/>
      <c r="F40" s="641"/>
      <c r="G40" s="641"/>
    </row>
    <row r="42" spans="1:7" ht="31.5" customHeight="1" x14ac:dyDescent="0.3">
      <c r="A42" s="522" t="s">
        <v>489</v>
      </c>
      <c r="B42" s="522" t="s">
        <v>469</v>
      </c>
      <c r="C42" s="522" t="s">
        <v>531</v>
      </c>
      <c r="D42" s="522" t="s">
        <v>377</v>
      </c>
      <c r="E42" s="522" t="s">
        <v>537</v>
      </c>
      <c r="F42" s="639" t="s">
        <v>396</v>
      </c>
      <c r="G42" s="639"/>
    </row>
    <row r="43" spans="1:7" ht="78" x14ac:dyDescent="0.3">
      <c r="A43" s="522"/>
      <c r="B43" s="522"/>
      <c r="C43" s="522"/>
      <c r="D43" s="522"/>
      <c r="E43" s="522"/>
      <c r="F43" s="300" t="s">
        <v>401</v>
      </c>
      <c r="G43" s="300" t="s">
        <v>402</v>
      </c>
    </row>
    <row r="44" spans="1:7" x14ac:dyDescent="0.3">
      <c r="A44" s="293">
        <v>1</v>
      </c>
      <c r="B44" s="293">
        <v>2</v>
      </c>
      <c r="C44" s="293">
        <v>3</v>
      </c>
      <c r="D44" s="293">
        <v>4</v>
      </c>
      <c r="E44" s="293" t="s">
        <v>538</v>
      </c>
      <c r="F44" s="198">
        <v>6</v>
      </c>
      <c r="G44" s="198">
        <v>7</v>
      </c>
    </row>
    <row r="45" spans="1:7" x14ac:dyDescent="0.3">
      <c r="A45" s="670" t="s">
        <v>748</v>
      </c>
      <c r="B45" s="671"/>
      <c r="C45" s="671"/>
      <c r="D45" s="671"/>
      <c r="E45" s="671"/>
      <c r="F45" s="671"/>
      <c r="G45" s="671"/>
    </row>
    <row r="46" spans="1:7" x14ac:dyDescent="0.3">
      <c r="A46" s="202">
        <v>1</v>
      </c>
      <c r="B46" s="177" t="s">
        <v>559</v>
      </c>
      <c r="C46" s="292"/>
      <c r="D46" s="292"/>
      <c r="E46" s="292">
        <f>C46*D46</f>
        <v>0</v>
      </c>
      <c r="F46" s="292"/>
      <c r="G46" s="292"/>
    </row>
    <row r="47" spans="1:7" x14ac:dyDescent="0.3">
      <c r="A47" s="674" t="s">
        <v>634</v>
      </c>
      <c r="B47" s="675"/>
      <c r="C47" s="675"/>
      <c r="D47" s="675"/>
      <c r="E47" s="675"/>
      <c r="F47" s="675"/>
      <c r="G47" s="675"/>
    </row>
    <row r="48" spans="1:7" ht="31.2" x14ac:dyDescent="0.3">
      <c r="A48" s="202">
        <v>1</v>
      </c>
      <c r="B48" s="177" t="s">
        <v>557</v>
      </c>
      <c r="C48" s="292">
        <v>15000</v>
      </c>
      <c r="D48" s="292">
        <v>4</v>
      </c>
      <c r="E48" s="292">
        <f>C48*D48</f>
        <v>60000</v>
      </c>
      <c r="F48" s="292">
        <v>10000</v>
      </c>
      <c r="G48" s="292">
        <v>50000</v>
      </c>
    </row>
    <row r="49" spans="1:7" ht="62.4" x14ac:dyDescent="0.3">
      <c r="A49" s="202">
        <v>2</v>
      </c>
      <c r="B49" s="177" t="s">
        <v>558</v>
      </c>
      <c r="C49" s="292"/>
      <c r="D49" s="292"/>
      <c r="E49" s="292">
        <f t="shared" ref="E49:E50" si="2">C49*D49</f>
        <v>0</v>
      </c>
      <c r="F49" s="292"/>
      <c r="G49" s="292"/>
    </row>
    <row r="50" spans="1:7" x14ac:dyDescent="0.3">
      <c r="A50" s="202">
        <v>3</v>
      </c>
      <c r="B50" s="177" t="s">
        <v>680</v>
      </c>
      <c r="C50" s="292"/>
      <c r="D50" s="292"/>
      <c r="E50" s="292">
        <f t="shared" si="2"/>
        <v>0</v>
      </c>
      <c r="F50" s="292"/>
      <c r="G50" s="292"/>
    </row>
    <row r="51" spans="1:7" s="58" customFormat="1" x14ac:dyDescent="0.3">
      <c r="A51" s="303"/>
      <c r="B51" s="299" t="s">
        <v>385</v>
      </c>
      <c r="C51" s="238"/>
      <c r="D51" s="238" t="s">
        <v>24</v>
      </c>
      <c r="E51" s="154">
        <f>SUM(E48:E50)</f>
        <v>60000</v>
      </c>
      <c r="F51" s="154">
        <f>SUM(F48:F50)</f>
        <v>10000</v>
      </c>
      <c r="G51" s="154">
        <f>SUM(G48:G50)</f>
        <v>50000</v>
      </c>
    </row>
  </sheetData>
  <mergeCells count="35">
    <mergeCell ref="A47:G47"/>
    <mergeCell ref="A17:G17"/>
    <mergeCell ref="A30:G30"/>
    <mergeCell ref="A32:G32"/>
    <mergeCell ref="A35:G35"/>
    <mergeCell ref="A45:G45"/>
    <mergeCell ref="A25:G25"/>
    <mergeCell ref="A27:A28"/>
    <mergeCell ref="B27:B28"/>
    <mergeCell ref="C27:C28"/>
    <mergeCell ref="A40:G40"/>
    <mergeCell ref="A42:A43"/>
    <mergeCell ref="B42:B43"/>
    <mergeCell ref="C42:C43"/>
    <mergeCell ref="D42:D43"/>
    <mergeCell ref="E42:E43"/>
    <mergeCell ref="A1:G1"/>
    <mergeCell ref="A12:G12"/>
    <mergeCell ref="D27:D28"/>
    <mergeCell ref="E27:E28"/>
    <mergeCell ref="F14:G14"/>
    <mergeCell ref="A14:A15"/>
    <mergeCell ref="B14:B15"/>
    <mergeCell ref="C14:C15"/>
    <mergeCell ref="D14:D15"/>
    <mergeCell ref="E14:E15"/>
    <mergeCell ref="F27:G27"/>
    <mergeCell ref="A3:G3"/>
    <mergeCell ref="F42:G42"/>
    <mergeCell ref="F5:G5"/>
    <mergeCell ref="A5:A6"/>
    <mergeCell ref="B5:B6"/>
    <mergeCell ref="C5:C6"/>
    <mergeCell ref="D5:D6"/>
    <mergeCell ref="E5:E6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selection activeCell="C21" sqref="C21:C22"/>
    </sheetView>
  </sheetViews>
  <sheetFormatPr defaultColWidth="9.109375" defaultRowHeight="15.6" x14ac:dyDescent="0.3"/>
  <cols>
    <col min="1" max="1" width="7" style="1" customWidth="1"/>
    <col min="2" max="2" width="65" style="1" customWidth="1"/>
    <col min="3" max="3" width="37.5546875" style="363" customWidth="1"/>
    <col min="4" max="16384" width="9.109375" style="56"/>
  </cols>
  <sheetData>
    <row r="1" spans="1:3" x14ac:dyDescent="0.3">
      <c r="C1" s="420" t="s">
        <v>0</v>
      </c>
    </row>
    <row r="3" spans="1:3" ht="17.399999999999999" x14ac:dyDescent="0.3">
      <c r="A3" s="518" t="s">
        <v>367</v>
      </c>
      <c r="B3" s="518"/>
      <c r="C3" s="518"/>
    </row>
    <row r="4" spans="1:3" ht="18.75" customHeight="1" x14ac:dyDescent="0.25">
      <c r="A4" s="519" t="str">
        <f>'Заголовочная часть'!B14</f>
        <v>Областное государственное бюджетное профессиональное образовательное учреждение "Костромской автодорожный колледж"</v>
      </c>
      <c r="B4" s="519"/>
      <c r="C4" s="519"/>
    </row>
    <row r="5" spans="1:3" ht="18.75" customHeight="1" x14ac:dyDescent="0.25">
      <c r="A5" s="519"/>
      <c r="B5" s="519"/>
      <c r="C5" s="519"/>
    </row>
    <row r="6" spans="1:3" ht="17.399999999999999" x14ac:dyDescent="0.3">
      <c r="A6" s="518" t="s">
        <v>137</v>
      </c>
      <c r="B6" s="518"/>
      <c r="C6" s="518"/>
    </row>
    <row r="8" spans="1:3" x14ac:dyDescent="0.25">
      <c r="A8" s="3" t="s">
        <v>1</v>
      </c>
      <c r="B8" s="3" t="s">
        <v>2</v>
      </c>
      <c r="C8" s="481" t="s">
        <v>174</v>
      </c>
    </row>
    <row r="9" spans="1:3" x14ac:dyDescent="0.25">
      <c r="A9" s="3">
        <v>1</v>
      </c>
      <c r="B9" s="3">
        <v>2</v>
      </c>
      <c r="C9" s="481">
        <v>3</v>
      </c>
    </row>
    <row r="10" spans="1:3" x14ac:dyDescent="0.3">
      <c r="A10" s="3">
        <v>1</v>
      </c>
      <c r="B10" s="5" t="s">
        <v>3</v>
      </c>
      <c r="C10" s="479">
        <v>90407621.840000004</v>
      </c>
    </row>
    <row r="11" spans="1:3" x14ac:dyDescent="0.25">
      <c r="A11" s="515"/>
      <c r="B11" s="6" t="s">
        <v>4</v>
      </c>
      <c r="C11" s="517">
        <v>57508200.280000001</v>
      </c>
    </row>
    <row r="12" spans="1:3" x14ac:dyDescent="0.25">
      <c r="A12" s="516"/>
      <c r="B12" s="7" t="s">
        <v>5</v>
      </c>
      <c r="C12" s="517"/>
    </row>
    <row r="13" spans="1:3" x14ac:dyDescent="0.25">
      <c r="A13" s="515"/>
      <c r="B13" s="8" t="s">
        <v>6</v>
      </c>
      <c r="C13" s="517">
        <v>8350114.1299999999</v>
      </c>
    </row>
    <row r="14" spans="1:3" x14ac:dyDescent="0.25">
      <c r="A14" s="516"/>
      <c r="B14" s="9" t="s">
        <v>7</v>
      </c>
      <c r="C14" s="517"/>
    </row>
    <row r="15" spans="1:3" x14ac:dyDescent="0.3">
      <c r="A15" s="3"/>
      <c r="B15" s="10" t="s">
        <v>8</v>
      </c>
      <c r="C15" s="479">
        <v>17362546.170000002</v>
      </c>
    </row>
    <row r="16" spans="1:3" x14ac:dyDescent="0.25">
      <c r="A16" s="515"/>
      <c r="B16" s="8" t="s">
        <v>6</v>
      </c>
      <c r="C16" s="517">
        <v>19634</v>
      </c>
    </row>
    <row r="17" spans="1:3" x14ac:dyDescent="0.25">
      <c r="A17" s="516"/>
      <c r="B17" s="9" t="s">
        <v>7</v>
      </c>
      <c r="C17" s="517"/>
    </row>
    <row r="18" spans="1:3" x14ac:dyDescent="0.3">
      <c r="A18" s="3">
        <v>2</v>
      </c>
      <c r="B18" s="5" t="s">
        <v>9</v>
      </c>
      <c r="C18" s="479">
        <v>-101520247.04000001</v>
      </c>
    </row>
    <row r="19" spans="1:3" x14ac:dyDescent="0.25">
      <c r="A19" s="515"/>
      <c r="B19" s="6" t="s">
        <v>4</v>
      </c>
      <c r="C19" s="517">
        <v>373615.65</v>
      </c>
    </row>
    <row r="20" spans="1:3" x14ac:dyDescent="0.25">
      <c r="A20" s="516"/>
      <c r="B20" s="7" t="s">
        <v>10</v>
      </c>
      <c r="C20" s="517"/>
    </row>
    <row r="21" spans="1:3" x14ac:dyDescent="0.25">
      <c r="A21" s="515"/>
      <c r="B21" s="8" t="s">
        <v>6</v>
      </c>
      <c r="C21" s="517">
        <v>373615.65</v>
      </c>
    </row>
    <row r="22" spans="1:3" x14ac:dyDescent="0.25">
      <c r="A22" s="516"/>
      <c r="B22" s="9" t="s">
        <v>11</v>
      </c>
      <c r="C22" s="517"/>
    </row>
    <row r="23" spans="1:3" ht="31.2" x14ac:dyDescent="0.3">
      <c r="A23" s="3"/>
      <c r="B23" s="11" t="s">
        <v>12</v>
      </c>
      <c r="C23" s="479">
        <v>0</v>
      </c>
    </row>
    <row r="24" spans="1:3" x14ac:dyDescent="0.3">
      <c r="A24" s="3"/>
      <c r="B24" s="10" t="s">
        <v>13</v>
      </c>
      <c r="C24" s="479">
        <v>0</v>
      </c>
    </row>
    <row r="25" spans="1:3" x14ac:dyDescent="0.3">
      <c r="A25" s="3"/>
      <c r="B25" s="10" t="s">
        <v>14</v>
      </c>
      <c r="C25" s="479">
        <v>738905.77</v>
      </c>
    </row>
    <row r="26" spans="1:3" x14ac:dyDescent="0.3">
      <c r="A26" s="3"/>
      <c r="B26" s="10" t="s">
        <v>15</v>
      </c>
      <c r="C26" s="479">
        <v>773204.94</v>
      </c>
    </row>
    <row r="27" spans="1:3" x14ac:dyDescent="0.3">
      <c r="A27" s="3">
        <v>3</v>
      </c>
      <c r="B27" s="5" t="s">
        <v>16</v>
      </c>
      <c r="C27" s="479">
        <v>6255626.9900000002</v>
      </c>
    </row>
    <row r="28" spans="1:3" x14ac:dyDescent="0.25">
      <c r="A28" s="515"/>
      <c r="B28" s="6" t="s">
        <v>4</v>
      </c>
      <c r="C28" s="517">
        <v>0</v>
      </c>
    </row>
    <row r="29" spans="1:3" x14ac:dyDescent="0.25">
      <c r="A29" s="516"/>
      <c r="B29" s="7" t="s">
        <v>17</v>
      </c>
      <c r="C29" s="517"/>
    </row>
    <row r="30" spans="1:3" x14ac:dyDescent="0.3">
      <c r="A30" s="3"/>
      <c r="B30" s="10" t="s">
        <v>18</v>
      </c>
      <c r="C30" s="479">
        <v>5902817.4199999999</v>
      </c>
    </row>
    <row r="31" spans="1:3" x14ac:dyDescent="0.25">
      <c r="A31" s="515"/>
      <c r="B31" s="8" t="s">
        <v>6</v>
      </c>
      <c r="C31" s="517">
        <v>1838534.46</v>
      </c>
    </row>
    <row r="32" spans="1:3" x14ac:dyDescent="0.25">
      <c r="A32" s="516"/>
      <c r="B32" s="9" t="s">
        <v>19</v>
      </c>
      <c r="C32" s="517"/>
    </row>
  </sheetData>
  <mergeCells count="17">
    <mergeCell ref="A28:A29"/>
    <mergeCell ref="C28:C29"/>
    <mergeCell ref="A31:A32"/>
    <mergeCell ref="C31:C32"/>
    <mergeCell ref="A16:A17"/>
    <mergeCell ref="C16:C17"/>
    <mergeCell ref="A19:A20"/>
    <mergeCell ref="C19:C20"/>
    <mergeCell ref="A21:A22"/>
    <mergeCell ref="C21:C22"/>
    <mergeCell ref="A13:A14"/>
    <mergeCell ref="C13:C14"/>
    <mergeCell ref="A3:C3"/>
    <mergeCell ref="A6:C6"/>
    <mergeCell ref="A11:A12"/>
    <mergeCell ref="C11:C12"/>
    <mergeCell ref="A4:C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2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="80" zoomScaleNormal="80" workbookViewId="0">
      <selection sqref="A1:I1"/>
    </sheetView>
  </sheetViews>
  <sheetFormatPr defaultColWidth="9.109375" defaultRowHeight="15.6" x14ac:dyDescent="0.3"/>
  <cols>
    <col min="1" max="1" width="4.6640625" style="1" customWidth="1"/>
    <col min="2" max="2" width="41.6640625" style="1" customWidth="1"/>
    <col min="3" max="3" width="5.5546875" style="1" bestFit="1" customWidth="1"/>
    <col min="4" max="4" width="9.109375" style="1" bestFit="1" customWidth="1"/>
    <col min="5" max="7" width="15.6640625" style="1" customWidth="1"/>
    <col min="8" max="9" width="15.6640625" style="57" customWidth="1"/>
    <col min="10" max="16384" width="9.109375" style="57"/>
  </cols>
  <sheetData>
    <row r="1" spans="1:9" s="59" customFormat="1" ht="18" x14ac:dyDescent="0.35">
      <c r="A1" s="518" t="s">
        <v>570</v>
      </c>
      <c r="B1" s="518"/>
      <c r="C1" s="518"/>
      <c r="D1" s="518"/>
      <c r="E1" s="518"/>
      <c r="F1" s="518"/>
      <c r="G1" s="518"/>
      <c r="H1" s="518"/>
      <c r="I1" s="518"/>
    </row>
    <row r="2" spans="1:9" x14ac:dyDescent="0.3">
      <c r="A2" s="199"/>
      <c r="B2" s="199"/>
      <c r="C2" s="199"/>
      <c r="D2" s="199"/>
      <c r="E2" s="199"/>
      <c r="F2" s="199"/>
      <c r="G2" s="199"/>
      <c r="H2" s="199"/>
      <c r="I2" s="199"/>
    </row>
    <row r="3" spans="1:9" x14ac:dyDescent="0.3">
      <c r="A3" s="641" t="s">
        <v>563</v>
      </c>
      <c r="B3" s="641"/>
      <c r="C3" s="641"/>
      <c r="D3" s="641"/>
      <c r="E3" s="641"/>
      <c r="F3" s="641"/>
      <c r="G3" s="641"/>
      <c r="H3" s="641"/>
      <c r="I3" s="641"/>
    </row>
    <row r="4" spans="1:9" x14ac:dyDescent="0.3">
      <c r="A4" s="199"/>
      <c r="B4" s="199"/>
      <c r="C4" s="199"/>
      <c r="D4" s="199"/>
      <c r="E4" s="199"/>
      <c r="F4" s="199"/>
      <c r="G4" s="199"/>
    </row>
    <row r="5" spans="1:9" s="58" customFormat="1" ht="31.5" customHeight="1" x14ac:dyDescent="0.3">
      <c r="A5" s="522" t="s">
        <v>1</v>
      </c>
      <c r="B5" s="522" t="s">
        <v>2</v>
      </c>
      <c r="C5" s="531" t="s">
        <v>229</v>
      </c>
      <c r="D5" s="531" t="s">
        <v>184</v>
      </c>
      <c r="E5" s="522" t="s">
        <v>497</v>
      </c>
      <c r="F5" s="522" t="s">
        <v>377</v>
      </c>
      <c r="G5" s="522" t="s">
        <v>537</v>
      </c>
      <c r="H5" s="639" t="s">
        <v>396</v>
      </c>
      <c r="I5" s="639"/>
    </row>
    <row r="6" spans="1:9" s="58" customFormat="1" ht="78" x14ac:dyDescent="0.3">
      <c r="A6" s="522"/>
      <c r="B6" s="522"/>
      <c r="C6" s="533"/>
      <c r="D6" s="533"/>
      <c r="E6" s="522"/>
      <c r="F6" s="522"/>
      <c r="G6" s="522"/>
      <c r="H6" s="196" t="s">
        <v>401</v>
      </c>
      <c r="I6" s="196" t="s">
        <v>402</v>
      </c>
    </row>
    <row r="7" spans="1:9" s="58" customFormat="1" x14ac:dyDescent="0.3">
      <c r="A7" s="169">
        <v>1</v>
      </c>
      <c r="B7" s="169">
        <v>2</v>
      </c>
      <c r="C7" s="169">
        <v>2</v>
      </c>
      <c r="D7" s="169">
        <v>3</v>
      </c>
      <c r="E7" s="169">
        <v>4</v>
      </c>
      <c r="F7" s="169">
        <v>5</v>
      </c>
      <c r="G7" s="169">
        <v>6</v>
      </c>
      <c r="H7" s="198">
        <v>7</v>
      </c>
      <c r="I7" s="198">
        <v>8</v>
      </c>
    </row>
    <row r="8" spans="1:9" x14ac:dyDescent="0.3">
      <c r="A8" s="202"/>
      <c r="B8" s="178"/>
      <c r="C8" s="245"/>
      <c r="D8" s="245"/>
      <c r="E8" s="168"/>
      <c r="F8" s="168"/>
      <c r="G8" s="168">
        <f>E8*F8</f>
        <v>0</v>
      </c>
      <c r="H8" s="168"/>
      <c r="I8" s="168"/>
    </row>
    <row r="9" spans="1:9" x14ac:dyDescent="0.3">
      <c r="A9" s="202"/>
      <c r="B9" s="178"/>
      <c r="C9" s="245"/>
      <c r="D9" s="245"/>
      <c r="E9" s="168"/>
      <c r="F9" s="168"/>
      <c r="G9" s="168">
        <f t="shared" ref="G9:G29" si="0">E9*F9</f>
        <v>0</v>
      </c>
      <c r="H9" s="168"/>
      <c r="I9" s="168"/>
    </row>
    <row r="10" spans="1:9" x14ac:dyDescent="0.3">
      <c r="A10" s="202"/>
      <c r="B10" s="178"/>
      <c r="C10" s="245"/>
      <c r="D10" s="245"/>
      <c r="E10" s="168"/>
      <c r="F10" s="168"/>
      <c r="G10" s="168">
        <f t="shared" si="0"/>
        <v>0</v>
      </c>
      <c r="H10" s="168"/>
      <c r="I10" s="168"/>
    </row>
    <row r="11" spans="1:9" x14ac:dyDescent="0.3">
      <c r="A11" s="202"/>
      <c r="B11" s="178"/>
      <c r="C11" s="245"/>
      <c r="D11" s="245"/>
      <c r="E11" s="168"/>
      <c r="F11" s="168"/>
      <c r="G11" s="168">
        <f t="shared" si="0"/>
        <v>0</v>
      </c>
      <c r="H11" s="168"/>
      <c r="I11" s="168"/>
    </row>
    <row r="12" spans="1:9" x14ac:dyDescent="0.3">
      <c r="A12" s="202"/>
      <c r="B12" s="178"/>
      <c r="C12" s="245"/>
      <c r="D12" s="245"/>
      <c r="E12" s="168"/>
      <c r="F12" s="168"/>
      <c r="G12" s="168">
        <f t="shared" si="0"/>
        <v>0</v>
      </c>
      <c r="H12" s="168"/>
      <c r="I12" s="168"/>
    </row>
    <row r="13" spans="1:9" s="58" customFormat="1" x14ac:dyDescent="0.3">
      <c r="A13" s="241"/>
      <c r="B13" s="243" t="s">
        <v>562</v>
      </c>
      <c r="C13" s="241"/>
      <c r="D13" s="241"/>
      <c r="E13" s="238" t="s">
        <v>24</v>
      </c>
      <c r="F13" s="238" t="s">
        <v>24</v>
      </c>
      <c r="G13" s="154">
        <f>SUM(G8:G12)</f>
        <v>0</v>
      </c>
      <c r="H13" s="154">
        <f t="shared" ref="H13:I13" si="1">SUM(H8:H12)</f>
        <v>0</v>
      </c>
      <c r="I13" s="154">
        <f t="shared" si="1"/>
        <v>0</v>
      </c>
    </row>
    <row r="14" spans="1:9" x14ac:dyDescent="0.3">
      <c r="A14" s="202"/>
      <c r="B14" s="178"/>
      <c r="C14" s="245"/>
      <c r="D14" s="245"/>
      <c r="E14" s="168"/>
      <c r="F14" s="168"/>
      <c r="G14" s="168">
        <f t="shared" si="0"/>
        <v>0</v>
      </c>
      <c r="H14" s="168"/>
      <c r="I14" s="168"/>
    </row>
    <row r="15" spans="1:9" x14ac:dyDescent="0.3">
      <c r="A15" s="202"/>
      <c r="B15" s="178"/>
      <c r="C15" s="245"/>
      <c r="D15" s="245"/>
      <c r="E15" s="168"/>
      <c r="F15" s="168"/>
      <c r="G15" s="168">
        <f t="shared" si="0"/>
        <v>0</v>
      </c>
      <c r="H15" s="168"/>
      <c r="I15" s="168"/>
    </row>
    <row r="16" spans="1:9" x14ac:dyDescent="0.3">
      <c r="A16" s="202"/>
      <c r="B16" s="178"/>
      <c r="C16" s="245"/>
      <c r="D16" s="245"/>
      <c r="E16" s="168"/>
      <c r="F16" s="168"/>
      <c r="G16" s="168">
        <f t="shared" si="0"/>
        <v>0</v>
      </c>
      <c r="H16" s="168"/>
      <c r="I16" s="168"/>
    </row>
    <row r="17" spans="1:9" x14ac:dyDescent="0.3">
      <c r="A17" s="202"/>
      <c r="B17" s="178"/>
      <c r="C17" s="245"/>
      <c r="D17" s="245"/>
      <c r="E17" s="168"/>
      <c r="F17" s="168"/>
      <c r="G17" s="168">
        <f t="shared" si="0"/>
        <v>0</v>
      </c>
      <c r="H17" s="168"/>
      <c r="I17" s="168"/>
    </row>
    <row r="18" spans="1:9" x14ac:dyDescent="0.3">
      <c r="A18" s="202"/>
      <c r="B18" s="178"/>
      <c r="C18" s="245"/>
      <c r="D18" s="245"/>
      <c r="E18" s="168"/>
      <c r="F18" s="168"/>
      <c r="G18" s="168">
        <f t="shared" si="0"/>
        <v>0</v>
      </c>
      <c r="H18" s="168"/>
      <c r="I18" s="168"/>
    </row>
    <row r="19" spans="1:9" x14ac:dyDescent="0.3">
      <c r="A19" s="241"/>
      <c r="B19" s="243" t="s">
        <v>562</v>
      </c>
      <c r="C19" s="241"/>
      <c r="D19" s="241"/>
      <c r="E19" s="238" t="s">
        <v>24</v>
      </c>
      <c r="F19" s="238" t="s">
        <v>24</v>
      </c>
      <c r="G19" s="154">
        <f>SUM(G14:G18)</f>
        <v>0</v>
      </c>
      <c r="H19" s="154">
        <f t="shared" ref="H19" si="2">SUM(H14:H18)</f>
        <v>0</v>
      </c>
      <c r="I19" s="154">
        <f t="shared" ref="I19" si="3">SUM(I14:I18)</f>
        <v>0</v>
      </c>
    </row>
    <row r="20" spans="1:9" x14ac:dyDescent="0.3">
      <c r="A20" s="202"/>
      <c r="B20" s="178"/>
      <c r="C20" s="245"/>
      <c r="D20" s="245"/>
      <c r="E20" s="168"/>
      <c r="F20" s="168"/>
      <c r="G20" s="168">
        <f t="shared" si="0"/>
        <v>0</v>
      </c>
      <c r="H20" s="168"/>
      <c r="I20" s="168"/>
    </row>
    <row r="21" spans="1:9" x14ac:dyDescent="0.3">
      <c r="A21" s="202"/>
      <c r="B21" s="178"/>
      <c r="C21" s="245"/>
      <c r="D21" s="245"/>
      <c r="E21" s="168"/>
      <c r="F21" s="168"/>
      <c r="G21" s="168">
        <f t="shared" si="0"/>
        <v>0</v>
      </c>
      <c r="H21" s="168"/>
      <c r="I21" s="168"/>
    </row>
    <row r="22" spans="1:9" x14ac:dyDescent="0.3">
      <c r="A22" s="202"/>
      <c r="B22" s="178"/>
      <c r="C22" s="245"/>
      <c r="D22" s="245"/>
      <c r="E22" s="168"/>
      <c r="F22" s="168"/>
      <c r="G22" s="168">
        <f t="shared" si="0"/>
        <v>0</v>
      </c>
      <c r="H22" s="168"/>
      <c r="I22" s="168"/>
    </row>
    <row r="23" spans="1:9" x14ac:dyDescent="0.3">
      <c r="A23" s="202"/>
      <c r="B23" s="178"/>
      <c r="C23" s="245"/>
      <c r="D23" s="245"/>
      <c r="E23" s="168"/>
      <c r="F23" s="168"/>
      <c r="G23" s="168">
        <f t="shared" si="0"/>
        <v>0</v>
      </c>
      <c r="H23" s="168"/>
      <c r="I23" s="168"/>
    </row>
    <row r="24" spans="1:9" x14ac:dyDescent="0.3">
      <c r="A24" s="202"/>
      <c r="B24" s="178"/>
      <c r="C24" s="245"/>
      <c r="D24" s="245"/>
      <c r="E24" s="168"/>
      <c r="F24" s="168"/>
      <c r="G24" s="168">
        <f t="shared" si="0"/>
        <v>0</v>
      </c>
      <c r="H24" s="168"/>
      <c r="I24" s="168"/>
    </row>
    <row r="25" spans="1:9" x14ac:dyDescent="0.3">
      <c r="A25" s="241"/>
      <c r="B25" s="243" t="s">
        <v>562</v>
      </c>
      <c r="C25" s="241"/>
      <c r="D25" s="241"/>
      <c r="E25" s="238" t="s">
        <v>24</v>
      </c>
      <c r="F25" s="238" t="s">
        <v>24</v>
      </c>
      <c r="G25" s="154">
        <f>SUM(G20:G24)</f>
        <v>0</v>
      </c>
      <c r="H25" s="154">
        <f t="shared" ref="H25" si="4">SUM(H20:H24)</f>
        <v>0</v>
      </c>
      <c r="I25" s="154">
        <f t="shared" ref="I25" si="5">SUM(I20:I24)</f>
        <v>0</v>
      </c>
    </row>
    <row r="26" spans="1:9" x14ac:dyDescent="0.3">
      <c r="A26" s="202"/>
      <c r="B26" s="178"/>
      <c r="C26" s="245"/>
      <c r="D26" s="245"/>
      <c r="E26" s="168"/>
      <c r="F26" s="168"/>
      <c r="G26" s="168">
        <f t="shared" si="0"/>
        <v>0</v>
      </c>
      <c r="H26" s="168"/>
      <c r="I26" s="168"/>
    </row>
    <row r="27" spans="1:9" x14ac:dyDescent="0.3">
      <c r="A27" s="202"/>
      <c r="B27" s="178"/>
      <c r="C27" s="245"/>
      <c r="D27" s="245"/>
      <c r="E27" s="168"/>
      <c r="F27" s="168"/>
      <c r="G27" s="168">
        <f t="shared" si="0"/>
        <v>0</v>
      </c>
      <c r="H27" s="168"/>
      <c r="I27" s="168"/>
    </row>
    <row r="28" spans="1:9" x14ac:dyDescent="0.3">
      <c r="A28" s="202"/>
      <c r="B28" s="178"/>
      <c r="C28" s="245"/>
      <c r="D28" s="245"/>
      <c r="E28" s="168"/>
      <c r="F28" s="168"/>
      <c r="G28" s="168">
        <f t="shared" si="0"/>
        <v>0</v>
      </c>
      <c r="H28" s="168"/>
      <c r="I28" s="168"/>
    </row>
    <row r="29" spans="1:9" x14ac:dyDescent="0.3">
      <c r="A29" s="202"/>
      <c r="B29" s="178"/>
      <c r="C29" s="245"/>
      <c r="D29" s="245"/>
      <c r="E29" s="168"/>
      <c r="F29" s="168"/>
      <c r="G29" s="168">
        <f t="shared" si="0"/>
        <v>0</v>
      </c>
      <c r="H29" s="168"/>
      <c r="I29" s="168"/>
    </row>
    <row r="30" spans="1:9" x14ac:dyDescent="0.3">
      <c r="A30" s="202"/>
      <c r="B30" s="178"/>
      <c r="C30" s="245"/>
      <c r="D30" s="245"/>
      <c r="E30" s="168"/>
      <c r="F30" s="168"/>
      <c r="G30" s="168">
        <f>E30*F30</f>
        <v>0</v>
      </c>
      <c r="H30" s="168"/>
      <c r="I30" s="168"/>
    </row>
    <row r="31" spans="1:9" s="58" customFormat="1" x14ac:dyDescent="0.3">
      <c r="A31" s="241"/>
      <c r="B31" s="243" t="s">
        <v>562</v>
      </c>
      <c r="C31" s="241"/>
      <c r="D31" s="241"/>
      <c r="E31" s="238" t="s">
        <v>24</v>
      </c>
      <c r="F31" s="238" t="s">
        <v>24</v>
      </c>
      <c r="G31" s="154">
        <f>SUM(G25:G30)</f>
        <v>0</v>
      </c>
      <c r="H31" s="154">
        <f t="shared" ref="H31" si="6">SUM(H25:H30)</f>
        <v>0</v>
      </c>
      <c r="I31" s="154">
        <f t="shared" ref="I31" si="7">SUM(I25:I30)</f>
        <v>0</v>
      </c>
    </row>
    <row r="32" spans="1:9" x14ac:dyDescent="0.3">
      <c r="A32" s="202"/>
      <c r="B32" s="178"/>
      <c r="C32" s="245"/>
      <c r="D32" s="245"/>
      <c r="E32" s="168"/>
      <c r="F32" s="168"/>
      <c r="G32" s="168">
        <f t="shared" ref="G32:G36" si="8">E32*F32</f>
        <v>0</v>
      </c>
      <c r="H32" s="168"/>
      <c r="I32" s="168"/>
    </row>
    <row r="33" spans="1:9" x14ac:dyDescent="0.3">
      <c r="A33" s="202"/>
      <c r="B33" s="178"/>
      <c r="C33" s="245"/>
      <c r="D33" s="245"/>
      <c r="E33" s="168"/>
      <c r="F33" s="168"/>
      <c r="G33" s="168">
        <f t="shared" si="8"/>
        <v>0</v>
      </c>
      <c r="H33" s="168"/>
      <c r="I33" s="168"/>
    </row>
    <row r="34" spans="1:9" x14ac:dyDescent="0.3">
      <c r="A34" s="202"/>
      <c r="B34" s="178"/>
      <c r="C34" s="245"/>
      <c r="D34" s="245"/>
      <c r="E34" s="168"/>
      <c r="F34" s="168"/>
      <c r="G34" s="168">
        <f t="shared" si="8"/>
        <v>0</v>
      </c>
      <c r="H34" s="168"/>
      <c r="I34" s="168"/>
    </row>
    <row r="35" spans="1:9" x14ac:dyDescent="0.3">
      <c r="A35" s="202"/>
      <c r="B35" s="178"/>
      <c r="C35" s="245"/>
      <c r="D35" s="245"/>
      <c r="E35" s="168"/>
      <c r="F35" s="168"/>
      <c r="G35" s="168">
        <f t="shared" si="8"/>
        <v>0</v>
      </c>
      <c r="H35" s="168"/>
      <c r="I35" s="168"/>
    </row>
    <row r="36" spans="1:9" x14ac:dyDescent="0.3">
      <c r="A36" s="202"/>
      <c r="B36" s="178"/>
      <c r="C36" s="245"/>
      <c r="D36" s="245"/>
      <c r="E36" s="168"/>
      <c r="F36" s="168"/>
      <c r="G36" s="168">
        <f t="shared" si="8"/>
        <v>0</v>
      </c>
      <c r="H36" s="168"/>
      <c r="I36" s="168"/>
    </row>
    <row r="37" spans="1:9" x14ac:dyDescent="0.3">
      <c r="A37" s="241"/>
      <c r="B37" s="243" t="s">
        <v>562</v>
      </c>
      <c r="C37" s="241"/>
      <c r="D37" s="241"/>
      <c r="E37" s="238" t="s">
        <v>24</v>
      </c>
      <c r="F37" s="238" t="s">
        <v>24</v>
      </c>
      <c r="G37" s="154">
        <f>SUM(G32:G36)</f>
        <v>0</v>
      </c>
      <c r="H37" s="154">
        <f t="shared" ref="H37" si="9">SUM(H32:H36)</f>
        <v>0</v>
      </c>
      <c r="I37" s="154">
        <f t="shared" ref="I37" si="10">SUM(I32:I36)</f>
        <v>0</v>
      </c>
    </row>
    <row r="38" spans="1:9" x14ac:dyDescent="0.3">
      <c r="A38" s="202"/>
      <c r="B38" s="178"/>
      <c r="C38" s="245"/>
      <c r="D38" s="245"/>
      <c r="E38" s="168"/>
      <c r="F38" s="168"/>
      <c r="G38" s="168">
        <f t="shared" ref="G38:G41" si="11">E38*F38</f>
        <v>0</v>
      </c>
      <c r="H38" s="168"/>
      <c r="I38" s="168"/>
    </row>
    <row r="39" spans="1:9" x14ac:dyDescent="0.3">
      <c r="A39" s="202"/>
      <c r="B39" s="178"/>
      <c r="C39" s="245"/>
      <c r="D39" s="245"/>
      <c r="E39" s="168"/>
      <c r="F39" s="168"/>
      <c r="G39" s="168">
        <f t="shared" si="11"/>
        <v>0</v>
      </c>
      <c r="H39" s="168"/>
      <c r="I39" s="168"/>
    </row>
    <row r="40" spans="1:9" x14ac:dyDescent="0.3">
      <c r="A40" s="202"/>
      <c r="B40" s="178"/>
      <c r="C40" s="245"/>
      <c r="D40" s="245"/>
      <c r="E40" s="168"/>
      <c r="F40" s="168"/>
      <c r="G40" s="168">
        <f t="shared" si="11"/>
        <v>0</v>
      </c>
      <c r="H40" s="168"/>
      <c r="I40" s="168"/>
    </row>
    <row r="41" spans="1:9" x14ac:dyDescent="0.3">
      <c r="A41" s="202"/>
      <c r="B41" s="178"/>
      <c r="C41" s="245"/>
      <c r="D41" s="245"/>
      <c r="E41" s="168"/>
      <c r="F41" s="168"/>
      <c r="G41" s="168">
        <f t="shared" si="11"/>
        <v>0</v>
      </c>
      <c r="H41" s="168"/>
      <c r="I41" s="168"/>
    </row>
    <row r="42" spans="1:9" x14ac:dyDescent="0.3">
      <c r="A42" s="202"/>
      <c r="B42" s="178"/>
      <c r="C42" s="245"/>
      <c r="D42" s="245"/>
      <c r="E42" s="168"/>
      <c r="F42" s="168"/>
      <c r="G42" s="168">
        <f>E42*F42</f>
        <v>0</v>
      </c>
      <c r="H42" s="168"/>
      <c r="I42" s="168"/>
    </row>
    <row r="43" spans="1:9" s="58" customFormat="1" x14ac:dyDescent="0.3">
      <c r="A43" s="241"/>
      <c r="B43" s="243" t="s">
        <v>562</v>
      </c>
      <c r="C43" s="241"/>
      <c r="D43" s="241"/>
      <c r="E43" s="238" t="s">
        <v>24</v>
      </c>
      <c r="F43" s="238" t="s">
        <v>24</v>
      </c>
      <c r="G43" s="154">
        <f>SUM(G37:G42)</f>
        <v>0</v>
      </c>
      <c r="H43" s="154">
        <f t="shared" ref="H43" si="12">SUM(H37:H42)</f>
        <v>0</v>
      </c>
      <c r="I43" s="154">
        <f t="shared" ref="I43" si="13">SUM(I37:I42)</f>
        <v>0</v>
      </c>
    </row>
    <row r="44" spans="1:9" s="58" customFormat="1" x14ac:dyDescent="0.3">
      <c r="A44" s="241"/>
      <c r="B44" s="243" t="s">
        <v>564</v>
      </c>
      <c r="C44" s="241"/>
      <c r="D44" s="241"/>
      <c r="E44" s="238" t="s">
        <v>24</v>
      </c>
      <c r="F44" s="238" t="s">
        <v>24</v>
      </c>
      <c r="G44" s="154">
        <f>G13+G19+G25+G31+G37+G43</f>
        <v>0</v>
      </c>
      <c r="H44" s="154">
        <f t="shared" ref="H44:I44" si="14">H13+H19+H25+H31+H37+H43</f>
        <v>0</v>
      </c>
      <c r="I44" s="154">
        <f t="shared" si="14"/>
        <v>0</v>
      </c>
    </row>
  </sheetData>
  <mergeCells count="10">
    <mergeCell ref="A3:I3"/>
    <mergeCell ref="A1:I1"/>
    <mergeCell ref="H5:I5"/>
    <mergeCell ref="A5:A6"/>
    <mergeCell ref="B5:B6"/>
    <mergeCell ref="E5:E6"/>
    <mergeCell ref="F5:F6"/>
    <mergeCell ref="G5:G6"/>
    <mergeCell ref="C5:C6"/>
    <mergeCell ref="D5:D6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66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25" zoomScale="80" zoomScaleNormal="80" workbookViewId="0">
      <selection activeCell="A30" sqref="A30:XFD30"/>
    </sheetView>
  </sheetViews>
  <sheetFormatPr defaultColWidth="9.109375" defaultRowHeight="15.6" x14ac:dyDescent="0.3"/>
  <cols>
    <col min="1" max="1" width="4.6640625" style="1" customWidth="1"/>
    <col min="2" max="2" width="31.6640625" style="1" customWidth="1"/>
    <col min="3" max="6" width="15.6640625" style="1" customWidth="1"/>
    <col min="7" max="8" width="15.6640625" style="57" customWidth="1"/>
    <col min="9" max="16384" width="9.109375" style="57"/>
  </cols>
  <sheetData>
    <row r="1" spans="1:8" s="59" customFormat="1" ht="18" x14ac:dyDescent="0.35">
      <c r="A1" s="518" t="s">
        <v>571</v>
      </c>
      <c r="B1" s="518"/>
      <c r="C1" s="518"/>
      <c r="D1" s="518"/>
      <c r="E1" s="518"/>
      <c r="F1" s="518"/>
      <c r="G1" s="518"/>
      <c r="H1" s="518"/>
    </row>
    <row r="2" spans="1:8" x14ac:dyDescent="0.3">
      <c r="A2" s="301"/>
      <c r="B2" s="301"/>
      <c r="C2" s="301"/>
      <c r="D2" s="301"/>
      <c r="E2" s="301"/>
      <c r="F2" s="301"/>
    </row>
    <row r="3" spans="1:8" x14ac:dyDescent="0.3">
      <c r="A3" s="641" t="s">
        <v>565</v>
      </c>
      <c r="B3" s="641"/>
      <c r="C3" s="641"/>
      <c r="D3" s="641"/>
      <c r="E3" s="641"/>
      <c r="F3" s="641"/>
      <c r="G3" s="641"/>
      <c r="H3" s="641"/>
    </row>
    <row r="4" spans="1:8" x14ac:dyDescent="0.3">
      <c r="A4" s="641" t="s">
        <v>572</v>
      </c>
      <c r="B4" s="641"/>
      <c r="C4" s="641"/>
      <c r="D4" s="641"/>
      <c r="E4" s="641"/>
      <c r="F4" s="641"/>
      <c r="G4" s="641"/>
      <c r="H4" s="641"/>
    </row>
    <row r="6" spans="1:8" s="58" customFormat="1" ht="31.5" customHeight="1" x14ac:dyDescent="0.3">
      <c r="A6" s="522" t="s">
        <v>1</v>
      </c>
      <c r="B6" s="522" t="s">
        <v>469</v>
      </c>
      <c r="C6" s="522" t="s">
        <v>500</v>
      </c>
      <c r="D6" s="522" t="s">
        <v>501</v>
      </c>
      <c r="E6" s="522" t="s">
        <v>502</v>
      </c>
      <c r="F6" s="522" t="s">
        <v>174</v>
      </c>
      <c r="G6" s="639" t="s">
        <v>396</v>
      </c>
      <c r="H6" s="639"/>
    </row>
    <row r="7" spans="1:8" s="58" customFormat="1" ht="78" x14ac:dyDescent="0.3">
      <c r="A7" s="522"/>
      <c r="B7" s="522"/>
      <c r="C7" s="522"/>
      <c r="D7" s="522"/>
      <c r="E7" s="522"/>
      <c r="F7" s="522"/>
      <c r="G7" s="300" t="s">
        <v>401</v>
      </c>
      <c r="H7" s="300" t="s">
        <v>402</v>
      </c>
    </row>
    <row r="8" spans="1:8" s="58" customFormat="1" x14ac:dyDescent="0.3">
      <c r="A8" s="293">
        <v>1</v>
      </c>
      <c r="B8" s="293">
        <v>2</v>
      </c>
      <c r="C8" s="293">
        <v>3</v>
      </c>
      <c r="D8" s="293">
        <v>4</v>
      </c>
      <c r="E8" s="293">
        <v>5</v>
      </c>
      <c r="F8" s="293" t="s">
        <v>536</v>
      </c>
      <c r="G8" s="293">
        <v>7</v>
      </c>
      <c r="H8" s="293">
        <v>8</v>
      </c>
    </row>
    <row r="9" spans="1:8" x14ac:dyDescent="0.3">
      <c r="A9" s="670" t="s">
        <v>681</v>
      </c>
      <c r="B9" s="671"/>
      <c r="C9" s="671"/>
      <c r="D9" s="671"/>
      <c r="E9" s="671"/>
      <c r="F9" s="671"/>
      <c r="G9" s="671"/>
      <c r="H9" s="672"/>
    </row>
    <row r="10" spans="1:8" s="63" customFormat="1" x14ac:dyDescent="0.3">
      <c r="A10" s="64">
        <v>1</v>
      </c>
      <c r="B10" s="258" t="s">
        <v>580</v>
      </c>
      <c r="C10" s="248"/>
      <c r="D10" s="248"/>
      <c r="E10" s="122"/>
      <c r="F10" s="122">
        <f t="shared" ref="F10:F17" si="0">C10*D10*E10</f>
        <v>0</v>
      </c>
      <c r="G10" s="122"/>
      <c r="H10" s="122"/>
    </row>
    <row r="11" spans="1:8" s="63" customFormat="1" ht="31.2" x14ac:dyDescent="0.3">
      <c r="A11" s="64">
        <v>2</v>
      </c>
      <c r="B11" s="258" t="s">
        <v>602</v>
      </c>
      <c r="C11" s="248">
        <v>1</v>
      </c>
      <c r="D11" s="248">
        <v>12</v>
      </c>
      <c r="E11" s="122">
        <v>3000</v>
      </c>
      <c r="F11" s="122">
        <f t="shared" si="0"/>
        <v>36000</v>
      </c>
      <c r="G11" s="122">
        <v>18000</v>
      </c>
      <c r="H11" s="122">
        <v>18000</v>
      </c>
    </row>
    <row r="12" spans="1:8" s="194" customFormat="1" x14ac:dyDescent="0.3">
      <c r="A12" s="293"/>
      <c r="B12" s="246" t="s">
        <v>385</v>
      </c>
      <c r="C12" s="229" t="s">
        <v>24</v>
      </c>
      <c r="D12" s="229" t="s">
        <v>24</v>
      </c>
      <c r="E12" s="229" t="s">
        <v>24</v>
      </c>
      <c r="F12" s="247">
        <f>SUM(F10:F11)</f>
        <v>36000</v>
      </c>
      <c r="G12" s="247">
        <f t="shared" ref="G12:H12" si="1">SUM(G10:G11)</f>
        <v>18000</v>
      </c>
      <c r="H12" s="247">
        <f t="shared" si="1"/>
        <v>18000</v>
      </c>
    </row>
    <row r="13" spans="1:8" s="194" customFormat="1" x14ac:dyDescent="0.3">
      <c r="A13" s="676" t="s">
        <v>692</v>
      </c>
      <c r="B13" s="677"/>
      <c r="C13" s="677"/>
      <c r="D13" s="677"/>
      <c r="E13" s="677"/>
      <c r="F13" s="677"/>
      <c r="G13" s="677"/>
      <c r="H13" s="678"/>
    </row>
    <row r="14" spans="1:8" s="63" customFormat="1" x14ac:dyDescent="0.3">
      <c r="A14" s="64">
        <v>1</v>
      </c>
      <c r="B14" s="258" t="s">
        <v>581</v>
      </c>
      <c r="C14" s="248">
        <v>1</v>
      </c>
      <c r="D14" s="248">
        <v>12</v>
      </c>
      <c r="E14" s="122">
        <v>5000</v>
      </c>
      <c r="F14" s="122">
        <f t="shared" si="0"/>
        <v>60000</v>
      </c>
      <c r="G14" s="122">
        <v>30000</v>
      </c>
      <c r="H14" s="122">
        <v>30000</v>
      </c>
    </row>
    <row r="15" spans="1:8" s="63" customFormat="1" ht="31.2" x14ac:dyDescent="0.3">
      <c r="A15" s="64">
        <v>2</v>
      </c>
      <c r="B15" s="258" t="s">
        <v>582</v>
      </c>
      <c r="C15" s="248">
        <v>6</v>
      </c>
      <c r="D15" s="248">
        <v>12</v>
      </c>
      <c r="E15" s="355">
        <v>1450</v>
      </c>
      <c r="F15" s="122">
        <f>C15*D15*E15</f>
        <v>104400</v>
      </c>
      <c r="G15" s="122">
        <v>37400</v>
      </c>
      <c r="H15" s="122">
        <v>67000</v>
      </c>
    </row>
    <row r="16" spans="1:8" s="63" customFormat="1" x14ac:dyDescent="0.3">
      <c r="A16" s="64">
        <v>3</v>
      </c>
      <c r="B16" s="258" t="s">
        <v>574</v>
      </c>
      <c r="C16" s="248"/>
      <c r="D16" s="248"/>
      <c r="E16" s="122"/>
      <c r="F16" s="122">
        <f t="shared" si="0"/>
        <v>0</v>
      </c>
      <c r="G16" s="122"/>
      <c r="H16" s="122"/>
    </row>
    <row r="17" spans="1:8" s="63" customFormat="1" ht="31.2" x14ac:dyDescent="0.3">
      <c r="A17" s="64">
        <v>4</v>
      </c>
      <c r="B17" s="258" t="s">
        <v>583</v>
      </c>
      <c r="C17" s="248"/>
      <c r="D17" s="248"/>
      <c r="E17" s="122"/>
      <c r="F17" s="122">
        <f t="shared" si="0"/>
        <v>0</v>
      </c>
      <c r="G17" s="122"/>
      <c r="H17" s="122"/>
    </row>
    <row r="18" spans="1:8" s="63" customFormat="1" ht="31.2" x14ac:dyDescent="0.3">
      <c r="A18" s="64">
        <v>5</v>
      </c>
      <c r="B18" s="258" t="s">
        <v>584</v>
      </c>
      <c r="C18" s="248"/>
      <c r="D18" s="248"/>
      <c r="E18" s="122"/>
      <c r="F18" s="122">
        <f>C18*D18*E18</f>
        <v>0</v>
      </c>
      <c r="G18" s="122"/>
      <c r="H18" s="122"/>
    </row>
    <row r="19" spans="1:8" s="63" customFormat="1" x14ac:dyDescent="0.3">
      <c r="A19" s="64"/>
      <c r="B19" s="258"/>
      <c r="C19" s="248"/>
      <c r="D19" s="248"/>
      <c r="E19" s="122"/>
      <c r="F19" s="122">
        <f>C19*D19*E19</f>
        <v>0</v>
      </c>
      <c r="G19" s="122"/>
      <c r="H19" s="122"/>
    </row>
    <row r="20" spans="1:8" s="58" customFormat="1" x14ac:dyDescent="0.3">
      <c r="A20" s="293"/>
      <c r="B20" s="228" t="s">
        <v>385</v>
      </c>
      <c r="C20" s="229" t="s">
        <v>24</v>
      </c>
      <c r="D20" s="229" t="s">
        <v>24</v>
      </c>
      <c r="E20" s="229" t="s">
        <v>24</v>
      </c>
      <c r="F20" s="227">
        <f>SUM(F14:F19)</f>
        <v>164400</v>
      </c>
      <c r="G20" s="227">
        <f>SUM(G14:G19)</f>
        <v>67400</v>
      </c>
      <c r="H20" s="227">
        <f>SUM(H14:H19)</f>
        <v>97000</v>
      </c>
    </row>
    <row r="21" spans="1:8" s="194" customFormat="1" x14ac:dyDescent="0.3">
      <c r="A21" s="293"/>
      <c r="B21" s="246" t="s">
        <v>708</v>
      </c>
      <c r="C21" s="229" t="s">
        <v>24</v>
      </c>
      <c r="D21" s="229" t="s">
        <v>24</v>
      </c>
      <c r="E21" s="229" t="s">
        <v>24</v>
      </c>
      <c r="F21" s="247">
        <f>F12+F20</f>
        <v>200400</v>
      </c>
      <c r="G21" s="247">
        <f t="shared" ref="G21:H21" si="2">G12+G20</f>
        <v>85400</v>
      </c>
      <c r="H21" s="247">
        <f t="shared" si="2"/>
        <v>115000</v>
      </c>
    </row>
    <row r="23" spans="1:8" x14ac:dyDescent="0.3">
      <c r="A23" s="641" t="s">
        <v>566</v>
      </c>
      <c r="B23" s="641"/>
      <c r="C23" s="641"/>
      <c r="D23" s="641"/>
      <c r="E23" s="641"/>
      <c r="F23" s="641"/>
      <c r="G23" s="641"/>
      <c r="H23" s="641"/>
    </row>
    <row r="24" spans="1:8" x14ac:dyDescent="0.3">
      <c r="A24" s="641" t="s">
        <v>573</v>
      </c>
      <c r="B24" s="641"/>
      <c r="C24" s="641"/>
      <c r="D24" s="641"/>
      <c r="E24" s="641"/>
      <c r="F24" s="641"/>
      <c r="G24" s="641"/>
      <c r="H24" s="641"/>
    </row>
    <row r="26" spans="1:8" s="58" customFormat="1" ht="34.5" customHeight="1" x14ac:dyDescent="0.3">
      <c r="A26" s="534" t="s">
        <v>1</v>
      </c>
      <c r="B26" s="522" t="s">
        <v>469</v>
      </c>
      <c r="C26" s="522" t="s">
        <v>503</v>
      </c>
      <c r="D26" s="522" t="s">
        <v>504</v>
      </c>
      <c r="E26" s="522" t="s">
        <v>174</v>
      </c>
      <c r="F26" s="639" t="s">
        <v>396</v>
      </c>
      <c r="G26" s="639"/>
    </row>
    <row r="27" spans="1:8" s="58" customFormat="1" ht="78" x14ac:dyDescent="0.3">
      <c r="A27" s="534"/>
      <c r="B27" s="522"/>
      <c r="C27" s="522"/>
      <c r="D27" s="522"/>
      <c r="E27" s="522"/>
      <c r="F27" s="300" t="s">
        <v>401</v>
      </c>
      <c r="G27" s="300" t="s">
        <v>402</v>
      </c>
    </row>
    <row r="28" spans="1:8" s="58" customFormat="1" x14ac:dyDescent="0.3">
      <c r="A28" s="302">
        <v>1</v>
      </c>
      <c r="B28" s="293">
        <v>2</v>
      </c>
      <c r="C28" s="293">
        <v>3</v>
      </c>
      <c r="D28" s="293">
        <v>4</v>
      </c>
      <c r="E28" s="293" t="s">
        <v>538</v>
      </c>
      <c r="F28" s="293">
        <v>6</v>
      </c>
      <c r="G28" s="293">
        <v>7</v>
      </c>
    </row>
    <row r="29" spans="1:8" s="194" customFormat="1" x14ac:dyDescent="0.3">
      <c r="A29" s="676" t="s">
        <v>696</v>
      </c>
      <c r="B29" s="677"/>
      <c r="C29" s="677"/>
      <c r="D29" s="677"/>
      <c r="E29" s="677"/>
      <c r="F29" s="677"/>
      <c r="G29" s="678"/>
    </row>
    <row r="30" spans="1:8" s="357" customFormat="1" x14ac:dyDescent="0.3">
      <c r="A30" s="356">
        <v>1</v>
      </c>
      <c r="B30" s="475" t="s">
        <v>913</v>
      </c>
      <c r="C30" s="476">
        <v>1</v>
      </c>
      <c r="D30" s="355">
        <v>5229</v>
      </c>
      <c r="E30" s="355">
        <f>C30*D30</f>
        <v>5229</v>
      </c>
      <c r="F30" s="355">
        <v>5229</v>
      </c>
      <c r="G30" s="355"/>
    </row>
    <row r="31" spans="1:8" s="63" customFormat="1" x14ac:dyDescent="0.3">
      <c r="A31" s="3"/>
      <c r="B31" s="258"/>
      <c r="C31" s="248"/>
      <c r="D31" s="122"/>
      <c r="E31" s="122">
        <f t="shared" ref="E31:E33" si="3">C31*D31</f>
        <v>0</v>
      </c>
      <c r="F31" s="122"/>
      <c r="G31" s="122"/>
    </row>
    <row r="32" spans="1:8" s="63" customFormat="1" x14ac:dyDescent="0.3">
      <c r="A32" s="3"/>
      <c r="B32" s="258"/>
      <c r="C32" s="248"/>
      <c r="D32" s="122"/>
      <c r="E32" s="122">
        <f t="shared" si="3"/>
        <v>0</v>
      </c>
      <c r="F32" s="122"/>
      <c r="G32" s="122"/>
    </row>
    <row r="33" spans="1:8" s="63" customFormat="1" x14ac:dyDescent="0.3">
      <c r="A33" s="3"/>
      <c r="B33" s="258"/>
      <c r="C33" s="248"/>
      <c r="D33" s="122"/>
      <c r="E33" s="122">
        <f t="shared" si="3"/>
        <v>0</v>
      </c>
      <c r="F33" s="122"/>
      <c r="G33" s="122"/>
    </row>
    <row r="34" spans="1:8" s="63" customFormat="1" x14ac:dyDescent="0.3">
      <c r="A34" s="3"/>
      <c r="B34" s="258"/>
      <c r="C34" s="248"/>
      <c r="D34" s="122"/>
      <c r="E34" s="122">
        <f>C34*D34</f>
        <v>0</v>
      </c>
      <c r="F34" s="122"/>
      <c r="G34" s="122"/>
    </row>
    <row r="35" spans="1:8" s="194" customFormat="1" x14ac:dyDescent="0.3">
      <c r="A35" s="302"/>
      <c r="B35" s="246" t="s">
        <v>709</v>
      </c>
      <c r="C35" s="229" t="s">
        <v>24</v>
      </c>
      <c r="D35" s="229" t="s">
        <v>24</v>
      </c>
      <c r="E35" s="247">
        <f>SUM(E30:E34)</f>
        <v>5229</v>
      </c>
      <c r="F35" s="247">
        <f t="shared" ref="F35:G35" si="4">SUM(F30:F34)</f>
        <v>5229</v>
      </c>
      <c r="G35" s="247">
        <f t="shared" si="4"/>
        <v>0</v>
      </c>
    </row>
    <row r="36" spans="1:8" x14ac:dyDescent="0.3">
      <c r="A36" s="162"/>
      <c r="B36" s="301"/>
      <c r="C36" s="170"/>
      <c r="D36" s="170"/>
      <c r="E36" s="170"/>
      <c r="F36" s="170"/>
    </row>
    <row r="37" spans="1:8" x14ac:dyDescent="0.3">
      <c r="A37" s="641" t="s">
        <v>567</v>
      </c>
      <c r="B37" s="641"/>
      <c r="C37" s="641"/>
      <c r="D37" s="641"/>
      <c r="E37" s="641"/>
      <c r="F37" s="641"/>
      <c r="G37" s="641"/>
      <c r="H37" s="641"/>
    </row>
    <row r="38" spans="1:8" x14ac:dyDescent="0.3">
      <c r="A38" s="641" t="s">
        <v>576</v>
      </c>
      <c r="B38" s="641"/>
      <c r="C38" s="641"/>
      <c r="D38" s="641"/>
      <c r="E38" s="641"/>
      <c r="F38" s="641"/>
      <c r="G38" s="641"/>
      <c r="H38" s="641"/>
    </row>
    <row r="39" spans="1:8" x14ac:dyDescent="0.3">
      <c r="A39" s="301"/>
      <c r="B39" s="301"/>
      <c r="C39" s="301"/>
      <c r="D39" s="301"/>
      <c r="E39" s="301"/>
      <c r="F39" s="301"/>
    </row>
    <row r="40" spans="1:8" s="58" customFormat="1" ht="31.5" customHeight="1" x14ac:dyDescent="0.3">
      <c r="A40" s="522" t="s">
        <v>1</v>
      </c>
      <c r="B40" s="522" t="s">
        <v>2</v>
      </c>
      <c r="C40" s="522" t="s">
        <v>575</v>
      </c>
      <c r="D40" s="522" t="s">
        <v>377</v>
      </c>
      <c r="E40" s="522" t="s">
        <v>507</v>
      </c>
      <c r="F40" s="522" t="s">
        <v>508</v>
      </c>
      <c r="G40" s="639" t="s">
        <v>396</v>
      </c>
      <c r="H40" s="639"/>
    </row>
    <row r="41" spans="1:8" s="58" customFormat="1" ht="78" x14ac:dyDescent="0.3">
      <c r="A41" s="522"/>
      <c r="B41" s="522"/>
      <c r="C41" s="522"/>
      <c r="D41" s="522"/>
      <c r="E41" s="522"/>
      <c r="F41" s="522"/>
      <c r="G41" s="300" t="s">
        <v>401</v>
      </c>
      <c r="H41" s="300" t="s">
        <v>402</v>
      </c>
    </row>
    <row r="42" spans="1:8" s="58" customFormat="1" x14ac:dyDescent="0.3">
      <c r="A42" s="293">
        <v>1</v>
      </c>
      <c r="B42" s="293">
        <v>2</v>
      </c>
      <c r="C42" s="293">
        <v>3</v>
      </c>
      <c r="D42" s="293">
        <v>4</v>
      </c>
      <c r="E42" s="293">
        <v>5</v>
      </c>
      <c r="F42" s="293">
        <v>6</v>
      </c>
      <c r="G42" s="293">
        <v>7</v>
      </c>
      <c r="H42" s="293">
        <v>8</v>
      </c>
    </row>
    <row r="43" spans="1:8" x14ac:dyDescent="0.3">
      <c r="A43" s="670" t="s">
        <v>762</v>
      </c>
      <c r="B43" s="671"/>
      <c r="C43" s="671"/>
      <c r="D43" s="671"/>
      <c r="E43" s="671"/>
      <c r="F43" s="671"/>
      <c r="G43" s="671"/>
      <c r="H43" s="672"/>
    </row>
    <row r="44" spans="1:8" s="63" customFormat="1" x14ac:dyDescent="0.3">
      <c r="A44" s="64">
        <v>1</v>
      </c>
      <c r="B44" s="258"/>
      <c r="C44" s="248"/>
      <c r="D44" s="248"/>
      <c r="E44" s="122"/>
      <c r="F44" s="122">
        <f t="shared" ref="F44:F45" si="5">C44*D44*E44</f>
        <v>0</v>
      </c>
      <c r="G44" s="201"/>
      <c r="H44" s="201"/>
    </row>
    <row r="45" spans="1:8" s="63" customFormat="1" x14ac:dyDescent="0.3">
      <c r="A45" s="64">
        <v>2</v>
      </c>
      <c r="B45" s="258"/>
      <c r="C45" s="248"/>
      <c r="D45" s="248"/>
      <c r="E45" s="122"/>
      <c r="F45" s="122">
        <f t="shared" si="5"/>
        <v>0</v>
      </c>
      <c r="G45" s="201"/>
      <c r="H45" s="201"/>
    </row>
    <row r="46" spans="1:8" s="194" customFormat="1" x14ac:dyDescent="0.3">
      <c r="A46" s="293"/>
      <c r="B46" s="246" t="s">
        <v>385</v>
      </c>
      <c r="C46" s="229" t="s">
        <v>24</v>
      </c>
      <c r="D46" s="229" t="s">
        <v>24</v>
      </c>
      <c r="E46" s="229" t="s">
        <v>24</v>
      </c>
      <c r="F46" s="247">
        <f>SUM(F44:F45)</f>
        <v>0</v>
      </c>
      <c r="G46" s="247">
        <f t="shared" ref="G46:H46" si="6">SUM(G44:G45)</f>
        <v>0</v>
      </c>
      <c r="H46" s="247">
        <f t="shared" si="6"/>
        <v>0</v>
      </c>
    </row>
    <row r="47" spans="1:8" s="194" customFormat="1" x14ac:dyDescent="0.3">
      <c r="A47" s="670" t="s">
        <v>634</v>
      </c>
      <c r="B47" s="671"/>
      <c r="C47" s="671"/>
      <c r="D47" s="671"/>
      <c r="E47" s="671"/>
      <c r="F47" s="671"/>
      <c r="G47" s="671"/>
      <c r="H47" s="672"/>
    </row>
    <row r="48" spans="1:8" s="63" customFormat="1" x14ac:dyDescent="0.3">
      <c r="A48" s="64">
        <v>3</v>
      </c>
      <c r="B48" s="258"/>
      <c r="C48" s="248"/>
      <c r="D48" s="248"/>
      <c r="E48" s="122"/>
      <c r="F48" s="122">
        <f t="shared" ref="F48:F50" si="7">C48*D48*E48</f>
        <v>0</v>
      </c>
      <c r="G48" s="201"/>
      <c r="H48" s="201"/>
    </row>
    <row r="49" spans="1:8" s="63" customFormat="1" x14ac:dyDescent="0.3">
      <c r="A49" s="64">
        <v>4</v>
      </c>
      <c r="B49" s="258"/>
      <c r="C49" s="248"/>
      <c r="D49" s="248"/>
      <c r="E49" s="122"/>
      <c r="F49" s="122">
        <f t="shared" si="7"/>
        <v>0</v>
      </c>
      <c r="G49" s="201"/>
      <c r="H49" s="201"/>
    </row>
    <row r="50" spans="1:8" s="63" customFormat="1" x14ac:dyDescent="0.3">
      <c r="A50" s="64">
        <v>5</v>
      </c>
      <c r="B50" s="258"/>
      <c r="C50" s="248"/>
      <c r="D50" s="248"/>
      <c r="E50" s="122"/>
      <c r="F50" s="122">
        <f t="shared" si="7"/>
        <v>0</v>
      </c>
      <c r="G50" s="201"/>
      <c r="H50" s="201"/>
    </row>
    <row r="51" spans="1:8" s="58" customFormat="1" x14ac:dyDescent="0.3">
      <c r="A51" s="293"/>
      <c r="B51" s="228" t="s">
        <v>385</v>
      </c>
      <c r="C51" s="229" t="s">
        <v>24</v>
      </c>
      <c r="D51" s="229" t="s">
        <v>24</v>
      </c>
      <c r="E51" s="229" t="s">
        <v>24</v>
      </c>
      <c r="F51" s="227">
        <f>SUM(F48:F50)</f>
        <v>0</v>
      </c>
      <c r="G51" s="227">
        <f>SUM(G50:G50)</f>
        <v>0</v>
      </c>
      <c r="H51" s="227">
        <f>SUM(H50:H50)</f>
        <v>0</v>
      </c>
    </row>
    <row r="52" spans="1:8" s="194" customFormat="1" x14ac:dyDescent="0.3">
      <c r="A52" s="293"/>
      <c r="B52" s="246" t="s">
        <v>710</v>
      </c>
      <c r="C52" s="229" t="s">
        <v>24</v>
      </c>
      <c r="D52" s="229" t="s">
        <v>24</v>
      </c>
      <c r="E52" s="229" t="s">
        <v>24</v>
      </c>
      <c r="F52" s="247">
        <f>F46+F51</f>
        <v>0</v>
      </c>
      <c r="G52" s="247">
        <f>G46+G51</f>
        <v>0</v>
      </c>
      <c r="H52" s="247">
        <f>H46+H51</f>
        <v>0</v>
      </c>
    </row>
  </sheetData>
  <mergeCells count="32">
    <mergeCell ref="A1:H1"/>
    <mergeCell ref="A3:H3"/>
    <mergeCell ref="A4:H4"/>
    <mergeCell ref="F26:G26"/>
    <mergeCell ref="G40:H40"/>
    <mergeCell ref="A26:A27"/>
    <mergeCell ref="B26:B27"/>
    <mergeCell ref="C26:C27"/>
    <mergeCell ref="D26:D27"/>
    <mergeCell ref="E26:E27"/>
    <mergeCell ref="A40:A41"/>
    <mergeCell ref="G6:H6"/>
    <mergeCell ref="A6:A7"/>
    <mergeCell ref="B6:B7"/>
    <mergeCell ref="C6:C7"/>
    <mergeCell ref="D6:D7"/>
    <mergeCell ref="E6:E7"/>
    <mergeCell ref="F6:F7"/>
    <mergeCell ref="A9:H9"/>
    <mergeCell ref="A13:H13"/>
    <mergeCell ref="A43:H43"/>
    <mergeCell ref="A23:H23"/>
    <mergeCell ref="A37:H37"/>
    <mergeCell ref="A24:H24"/>
    <mergeCell ref="A38:H38"/>
    <mergeCell ref="A29:G29"/>
    <mergeCell ref="A47:H47"/>
    <mergeCell ref="B40:B41"/>
    <mergeCell ref="C40:C41"/>
    <mergeCell ref="D40:D41"/>
    <mergeCell ref="E40:E41"/>
    <mergeCell ref="F40:F41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68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="80" zoomScaleNormal="80" workbookViewId="0">
      <selection activeCell="O12" sqref="O12"/>
    </sheetView>
  </sheetViews>
  <sheetFormatPr defaultColWidth="9.109375" defaultRowHeight="15.6" x14ac:dyDescent="0.3"/>
  <cols>
    <col min="1" max="1" width="4.6640625" style="1" customWidth="1"/>
    <col min="2" max="2" width="31.6640625" style="1" customWidth="1"/>
    <col min="3" max="3" width="9.109375" style="174" bestFit="1" customWidth="1"/>
    <col min="4" max="8" width="12.6640625" style="174" customWidth="1"/>
    <col min="9" max="9" width="11.6640625" style="1" bestFit="1" customWidth="1"/>
    <col min="10" max="10" width="9.6640625" style="1" customWidth="1"/>
    <col min="11" max="11" width="15.6640625" style="1" customWidth="1"/>
    <col min="12" max="12" width="15.6640625" style="57" customWidth="1"/>
    <col min="13" max="13" width="6.6640625" style="57" bestFit="1" customWidth="1"/>
    <col min="14" max="14" width="15.6640625" style="57" customWidth="1"/>
    <col min="15" max="15" width="6.6640625" style="57" bestFit="1" customWidth="1"/>
    <col min="16" max="17" width="15.6640625" style="57" customWidth="1"/>
    <col min="18" max="16384" width="9.109375" style="57"/>
  </cols>
  <sheetData>
    <row r="1" spans="1:17" x14ac:dyDescent="0.3">
      <c r="A1" s="641" t="s">
        <v>577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</row>
    <row r="2" spans="1:17" x14ac:dyDescent="0.3">
      <c r="A2" s="641" t="s">
        <v>731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</row>
    <row r="3" spans="1:17" x14ac:dyDescent="0.3">
      <c r="C3" s="297"/>
      <c r="D3" s="297"/>
      <c r="E3" s="297"/>
      <c r="F3" s="297"/>
      <c r="G3" s="297"/>
      <c r="H3" s="297"/>
    </row>
    <row r="4" spans="1:17" s="58" customFormat="1" ht="15.75" customHeight="1" x14ac:dyDescent="0.3">
      <c r="A4" s="522" t="s">
        <v>1</v>
      </c>
      <c r="B4" s="522" t="s">
        <v>2</v>
      </c>
      <c r="C4" s="531" t="s">
        <v>184</v>
      </c>
      <c r="D4" s="537" t="s">
        <v>600</v>
      </c>
      <c r="E4" s="538"/>
      <c r="F4" s="538"/>
      <c r="G4" s="538"/>
      <c r="H4" s="539"/>
      <c r="I4" s="522" t="s">
        <v>658</v>
      </c>
      <c r="J4" s="522" t="s">
        <v>505</v>
      </c>
      <c r="K4" s="522" t="s">
        <v>599</v>
      </c>
      <c r="L4" s="639" t="s">
        <v>396</v>
      </c>
      <c r="M4" s="639"/>
      <c r="N4" s="639"/>
      <c r="O4" s="639"/>
      <c r="P4" s="639"/>
      <c r="Q4" s="639"/>
    </row>
    <row r="5" spans="1:17" s="58" customFormat="1" ht="15.75" customHeight="1" x14ac:dyDescent="0.3">
      <c r="A5" s="522"/>
      <c r="B5" s="522"/>
      <c r="C5" s="532"/>
      <c r="D5" s="540"/>
      <c r="E5" s="541"/>
      <c r="F5" s="541"/>
      <c r="G5" s="541"/>
      <c r="H5" s="542"/>
      <c r="I5" s="522"/>
      <c r="J5" s="522"/>
      <c r="K5" s="522"/>
      <c r="L5" s="679" t="s">
        <v>401</v>
      </c>
      <c r="M5" s="682" t="s">
        <v>391</v>
      </c>
      <c r="N5" s="683"/>
      <c r="O5" s="683"/>
      <c r="P5" s="684"/>
      <c r="Q5" s="679" t="s">
        <v>402</v>
      </c>
    </row>
    <row r="6" spans="1:17" s="58" customFormat="1" ht="50.25" customHeight="1" x14ac:dyDescent="0.3">
      <c r="A6" s="522"/>
      <c r="B6" s="522"/>
      <c r="C6" s="532"/>
      <c r="D6" s="522" t="s">
        <v>590</v>
      </c>
      <c r="E6" s="522" t="s">
        <v>591</v>
      </c>
      <c r="F6" s="522" t="s">
        <v>592</v>
      </c>
      <c r="G6" s="522" t="s">
        <v>593</v>
      </c>
      <c r="H6" s="522" t="s">
        <v>594</v>
      </c>
      <c r="I6" s="522"/>
      <c r="J6" s="522"/>
      <c r="K6" s="522"/>
      <c r="L6" s="680"/>
      <c r="M6" s="682" t="s">
        <v>693</v>
      </c>
      <c r="N6" s="684"/>
      <c r="O6" s="682" t="s">
        <v>694</v>
      </c>
      <c r="P6" s="684"/>
      <c r="Q6" s="680"/>
    </row>
    <row r="7" spans="1:17" s="58" customFormat="1" x14ac:dyDescent="0.3">
      <c r="A7" s="522"/>
      <c r="B7" s="522"/>
      <c r="C7" s="533"/>
      <c r="D7" s="522"/>
      <c r="E7" s="522"/>
      <c r="F7" s="522"/>
      <c r="G7" s="522"/>
      <c r="H7" s="522"/>
      <c r="I7" s="522"/>
      <c r="J7" s="522"/>
      <c r="K7" s="522"/>
      <c r="L7" s="681"/>
      <c r="M7" s="300" t="s">
        <v>598</v>
      </c>
      <c r="N7" s="300" t="s">
        <v>121</v>
      </c>
      <c r="O7" s="300" t="s">
        <v>598</v>
      </c>
      <c r="P7" s="300" t="s">
        <v>121</v>
      </c>
      <c r="Q7" s="681"/>
    </row>
    <row r="8" spans="1:17" s="195" customFormat="1" ht="31.2" x14ac:dyDescent="0.3">
      <c r="A8" s="293">
        <v>1</v>
      </c>
      <c r="B8" s="293">
        <v>2</v>
      </c>
      <c r="C8" s="293">
        <v>3</v>
      </c>
      <c r="D8" s="293">
        <v>4</v>
      </c>
      <c r="E8" s="293">
        <v>5</v>
      </c>
      <c r="F8" s="293">
        <v>6</v>
      </c>
      <c r="G8" s="293">
        <v>7</v>
      </c>
      <c r="H8" s="293" t="s">
        <v>604</v>
      </c>
      <c r="I8" s="293">
        <v>9</v>
      </c>
      <c r="J8" s="293">
        <v>10</v>
      </c>
      <c r="K8" s="294" t="s">
        <v>597</v>
      </c>
      <c r="L8" s="251">
        <v>12</v>
      </c>
      <c r="M8" s="251">
        <v>13</v>
      </c>
      <c r="N8" s="251" t="s">
        <v>605</v>
      </c>
      <c r="O8" s="251">
        <v>15</v>
      </c>
      <c r="P8" s="251" t="s">
        <v>606</v>
      </c>
      <c r="Q8" s="251">
        <v>17</v>
      </c>
    </row>
    <row r="9" spans="1:17" s="63" customFormat="1" ht="31.2" x14ac:dyDescent="0.3">
      <c r="A9" s="202">
        <v>1</v>
      </c>
      <c r="B9" s="258" t="s">
        <v>586</v>
      </c>
      <c r="C9" s="295" t="s">
        <v>196</v>
      </c>
      <c r="D9" s="249">
        <v>728.8</v>
      </c>
      <c r="E9" s="249">
        <v>246.9</v>
      </c>
      <c r="F9" s="249">
        <v>55.5</v>
      </c>
      <c r="G9" s="249">
        <v>813.5</v>
      </c>
      <c r="H9" s="249">
        <f t="shared" ref="H9:H17" si="0">SUM(D9:G9)</f>
        <v>1844.7</v>
      </c>
      <c r="I9" s="122">
        <v>3661.2</v>
      </c>
      <c r="J9" s="249">
        <v>1.04</v>
      </c>
      <c r="K9" s="122">
        <f t="shared" ref="K9:K17" si="1">(D9+E9)*I9+(F9+G9)*I9*J9</f>
        <v>6881078.9500000002</v>
      </c>
      <c r="L9" s="122">
        <f>K9-Q9</f>
        <v>5860059.0700000003</v>
      </c>
      <c r="M9" s="252">
        <v>0.5</v>
      </c>
      <c r="N9" s="122">
        <f>L9*M9</f>
        <v>2930029.54</v>
      </c>
      <c r="O9" s="252">
        <v>0.5</v>
      </c>
      <c r="P9" s="122">
        <f>L9-N9</f>
        <v>2930029.53</v>
      </c>
      <c r="Q9" s="122">
        <v>1021019.88</v>
      </c>
    </row>
    <row r="10" spans="1:17" s="63" customFormat="1" ht="31.2" x14ac:dyDescent="0.3">
      <c r="A10" s="202">
        <v>2</v>
      </c>
      <c r="B10" s="258" t="s">
        <v>587</v>
      </c>
      <c r="C10" s="295" t="s">
        <v>196</v>
      </c>
      <c r="D10" s="249"/>
      <c r="E10" s="249"/>
      <c r="F10" s="249"/>
      <c r="G10" s="249"/>
      <c r="H10" s="249">
        <f t="shared" si="0"/>
        <v>0</v>
      </c>
      <c r="I10" s="122"/>
      <c r="J10" s="249">
        <v>1.04</v>
      </c>
      <c r="K10" s="122">
        <f t="shared" si="1"/>
        <v>0</v>
      </c>
      <c r="L10" s="122">
        <f t="shared" ref="L10:L17" si="2">K10-Q10</f>
        <v>0</v>
      </c>
      <c r="M10" s="252">
        <v>0.5</v>
      </c>
      <c r="N10" s="122">
        <f t="shared" ref="N10:N17" si="3">L10*M10</f>
        <v>0</v>
      </c>
      <c r="O10" s="252">
        <v>0.5</v>
      </c>
      <c r="P10" s="122">
        <f t="shared" ref="P10:P17" si="4">L10-N10</f>
        <v>0</v>
      </c>
      <c r="Q10" s="122"/>
    </row>
    <row r="11" spans="1:17" s="63" customFormat="1" ht="78" x14ac:dyDescent="0.3">
      <c r="A11" s="202">
        <v>3</v>
      </c>
      <c r="B11" s="258" t="s">
        <v>585</v>
      </c>
      <c r="C11" s="295" t="s">
        <v>196</v>
      </c>
      <c r="D11" s="249">
        <v>147.66</v>
      </c>
      <c r="E11" s="249">
        <v>145</v>
      </c>
      <c r="F11" s="249">
        <v>95</v>
      </c>
      <c r="G11" s="249">
        <v>148</v>
      </c>
      <c r="H11" s="249">
        <f t="shared" si="0"/>
        <v>535.66</v>
      </c>
      <c r="I11" s="122">
        <v>3145.8</v>
      </c>
      <c r="J11" s="249">
        <v>1.04</v>
      </c>
      <c r="K11" s="122">
        <f t="shared" si="1"/>
        <v>1715656.4</v>
      </c>
      <c r="L11" s="122">
        <f t="shared" si="2"/>
        <v>1715656.4</v>
      </c>
      <c r="M11" s="252">
        <v>0.5</v>
      </c>
      <c r="N11" s="122">
        <f t="shared" si="3"/>
        <v>857828.2</v>
      </c>
      <c r="O11" s="252">
        <v>0.5</v>
      </c>
      <c r="P11" s="122">
        <f t="shared" si="4"/>
        <v>857828.2</v>
      </c>
      <c r="Q11" s="122"/>
    </row>
    <row r="12" spans="1:17" s="63" customFormat="1" ht="31.2" x14ac:dyDescent="0.3">
      <c r="A12" s="202">
        <v>4</v>
      </c>
      <c r="B12" s="258" t="s">
        <v>588</v>
      </c>
      <c r="C12" s="295" t="s">
        <v>198</v>
      </c>
      <c r="D12" s="249">
        <v>163840</v>
      </c>
      <c r="E12" s="249">
        <v>120401</v>
      </c>
      <c r="F12" s="249">
        <v>124240</v>
      </c>
      <c r="G12" s="249">
        <v>184810</v>
      </c>
      <c r="H12" s="249">
        <f t="shared" si="0"/>
        <v>593291</v>
      </c>
      <c r="I12" s="122">
        <v>6.2</v>
      </c>
      <c r="J12" s="249">
        <v>1.0469999999999999</v>
      </c>
      <c r="K12" s="122">
        <f t="shared" si="1"/>
        <v>3768461.37</v>
      </c>
      <c r="L12" s="122">
        <f t="shared" si="2"/>
        <v>3186467.61</v>
      </c>
      <c r="M12" s="252">
        <v>0.9</v>
      </c>
      <c r="N12" s="122">
        <f t="shared" si="3"/>
        <v>2867820.85</v>
      </c>
      <c r="O12" s="252">
        <v>0.1</v>
      </c>
      <c r="P12" s="122">
        <f t="shared" si="4"/>
        <v>318646.76</v>
      </c>
      <c r="Q12" s="122">
        <v>581993.76</v>
      </c>
    </row>
    <row r="13" spans="1:17" s="63" customFormat="1" ht="31.2" x14ac:dyDescent="0.3">
      <c r="A13" s="202">
        <v>5</v>
      </c>
      <c r="B13" s="258" t="s">
        <v>589</v>
      </c>
      <c r="C13" s="295" t="s">
        <v>199</v>
      </c>
      <c r="D13" s="249">
        <v>2336</v>
      </c>
      <c r="E13" s="249">
        <v>2198</v>
      </c>
      <c r="F13" s="249">
        <v>1682</v>
      </c>
      <c r="G13" s="249">
        <v>2592</v>
      </c>
      <c r="H13" s="249">
        <f t="shared" si="0"/>
        <v>8808</v>
      </c>
      <c r="I13" s="122">
        <v>37.9</v>
      </c>
      <c r="J13" s="249">
        <v>1.0369999999999999</v>
      </c>
      <c r="K13" s="122">
        <f t="shared" si="1"/>
        <v>339816.63</v>
      </c>
      <c r="L13" s="122">
        <f t="shared" si="2"/>
        <v>278124.12</v>
      </c>
      <c r="M13" s="252">
        <v>1</v>
      </c>
      <c r="N13" s="122">
        <f t="shared" si="3"/>
        <v>278124.12</v>
      </c>
      <c r="O13" s="252"/>
      <c r="P13" s="122">
        <f t="shared" si="4"/>
        <v>0</v>
      </c>
      <c r="Q13" s="122">
        <v>61692.51</v>
      </c>
    </row>
    <row r="14" spans="1:17" s="63" customFormat="1" ht="31.2" x14ac:dyDescent="0.3">
      <c r="A14" s="202">
        <v>6</v>
      </c>
      <c r="B14" s="258" t="s">
        <v>596</v>
      </c>
      <c r="C14" s="295" t="s">
        <v>199</v>
      </c>
      <c r="D14" s="249">
        <v>2336</v>
      </c>
      <c r="E14" s="249">
        <v>2198</v>
      </c>
      <c r="F14" s="249">
        <v>1682</v>
      </c>
      <c r="G14" s="249">
        <v>2592</v>
      </c>
      <c r="H14" s="249">
        <f>SUM(D14:G14)</f>
        <v>8808</v>
      </c>
      <c r="I14" s="122">
        <v>34.1</v>
      </c>
      <c r="J14" s="249">
        <v>1.0369999999999999</v>
      </c>
      <c r="K14" s="122">
        <f>(D14+E14)*I14+(F14+G14)*I14*J14</f>
        <v>305745.31</v>
      </c>
      <c r="L14" s="122">
        <f t="shared" si="2"/>
        <v>250238.32</v>
      </c>
      <c r="M14" s="252">
        <v>1</v>
      </c>
      <c r="N14" s="122">
        <f t="shared" si="3"/>
        <v>250238.32</v>
      </c>
      <c r="O14" s="252"/>
      <c r="P14" s="122">
        <f t="shared" si="4"/>
        <v>0</v>
      </c>
      <c r="Q14" s="122">
        <v>55506.99</v>
      </c>
    </row>
    <row r="15" spans="1:17" s="63" customFormat="1" ht="62.4" x14ac:dyDescent="0.3">
      <c r="A15" s="202">
        <v>7</v>
      </c>
      <c r="B15" s="258" t="s">
        <v>595</v>
      </c>
      <c r="C15" s="295" t="s">
        <v>199</v>
      </c>
      <c r="D15" s="249">
        <v>2336</v>
      </c>
      <c r="E15" s="249">
        <v>2198</v>
      </c>
      <c r="F15" s="249">
        <v>1682</v>
      </c>
      <c r="G15" s="249">
        <v>2592</v>
      </c>
      <c r="H15" s="249">
        <f t="shared" si="0"/>
        <v>8808</v>
      </c>
      <c r="I15" s="122">
        <v>8.69</v>
      </c>
      <c r="J15" s="249">
        <v>1</v>
      </c>
      <c r="K15" s="122">
        <f t="shared" si="1"/>
        <v>76541.52</v>
      </c>
      <c r="L15" s="122">
        <f t="shared" si="2"/>
        <v>76541.52</v>
      </c>
      <c r="M15" s="252">
        <v>1</v>
      </c>
      <c r="N15" s="122">
        <f t="shared" si="3"/>
        <v>76541.52</v>
      </c>
      <c r="O15" s="252"/>
      <c r="P15" s="122">
        <f t="shared" si="4"/>
        <v>0</v>
      </c>
      <c r="Q15" s="122"/>
    </row>
    <row r="16" spans="1:17" s="63" customFormat="1" ht="31.2" x14ac:dyDescent="0.3">
      <c r="A16" s="202">
        <v>8</v>
      </c>
      <c r="B16" s="258" t="s">
        <v>601</v>
      </c>
      <c r="C16" s="295" t="s">
        <v>203</v>
      </c>
      <c r="D16" s="249">
        <v>231.12</v>
      </c>
      <c r="E16" s="249">
        <v>231.12</v>
      </c>
      <c r="F16" s="249">
        <v>57.78</v>
      </c>
      <c r="G16" s="249">
        <v>231.12</v>
      </c>
      <c r="H16" s="249">
        <f t="shared" ref="H16" si="5">SUM(D16:G16)</f>
        <v>751.14</v>
      </c>
      <c r="I16" s="122">
        <v>265.10000000000002</v>
      </c>
      <c r="J16" s="249">
        <v>1</v>
      </c>
      <c r="K16" s="122">
        <f t="shared" si="1"/>
        <v>199127.21</v>
      </c>
      <c r="L16" s="122">
        <f t="shared" si="2"/>
        <v>179127.21</v>
      </c>
      <c r="M16" s="252">
        <v>1</v>
      </c>
      <c r="N16" s="122">
        <f t="shared" si="3"/>
        <v>179127.21</v>
      </c>
      <c r="O16" s="252"/>
      <c r="P16" s="122">
        <f t="shared" si="4"/>
        <v>0</v>
      </c>
      <c r="Q16" s="122">
        <v>20000</v>
      </c>
    </row>
    <row r="17" spans="1:17" s="63" customFormat="1" ht="31.2" x14ac:dyDescent="0.3">
      <c r="A17" s="202">
        <v>9</v>
      </c>
      <c r="B17" s="258" t="s">
        <v>700</v>
      </c>
      <c r="C17" s="295" t="s">
        <v>220</v>
      </c>
      <c r="D17" s="249">
        <v>253</v>
      </c>
      <c r="E17" s="249">
        <v>51</v>
      </c>
      <c r="F17" s="249">
        <v>51</v>
      </c>
      <c r="G17" s="249">
        <v>270</v>
      </c>
      <c r="H17" s="249">
        <f t="shared" si="0"/>
        <v>625</v>
      </c>
      <c r="I17" s="122">
        <v>550</v>
      </c>
      <c r="J17" s="249">
        <v>1</v>
      </c>
      <c r="K17" s="122">
        <f t="shared" si="1"/>
        <v>343750</v>
      </c>
      <c r="L17" s="122">
        <f t="shared" si="2"/>
        <v>226635.34</v>
      </c>
      <c r="M17" s="252">
        <v>0.5</v>
      </c>
      <c r="N17" s="122">
        <f t="shared" si="3"/>
        <v>113317.67</v>
      </c>
      <c r="O17" s="252">
        <v>0.5</v>
      </c>
      <c r="P17" s="122">
        <f t="shared" si="4"/>
        <v>113317.67</v>
      </c>
      <c r="Q17" s="122">
        <v>117114.66</v>
      </c>
    </row>
    <row r="18" spans="1:17" s="194" customFormat="1" x14ac:dyDescent="0.3">
      <c r="A18" s="303"/>
      <c r="B18" s="246" t="s">
        <v>385</v>
      </c>
      <c r="C18" s="294"/>
      <c r="D18" s="250" t="s">
        <v>24</v>
      </c>
      <c r="E18" s="250" t="s">
        <v>24</v>
      </c>
      <c r="F18" s="250" t="s">
        <v>24</v>
      </c>
      <c r="G18" s="250" t="s">
        <v>24</v>
      </c>
      <c r="H18" s="250" t="s">
        <v>24</v>
      </c>
      <c r="I18" s="250" t="s">
        <v>24</v>
      </c>
      <c r="J18" s="250" t="s">
        <v>24</v>
      </c>
      <c r="K18" s="247">
        <f>SUM(K9:K17)</f>
        <v>13630177.390000001</v>
      </c>
      <c r="L18" s="247">
        <f>SUM(L9:L17)</f>
        <v>11772849.59</v>
      </c>
      <c r="M18" s="229" t="s">
        <v>24</v>
      </c>
      <c r="N18" s="247">
        <f>SUM(N9:N17)</f>
        <v>7553027.4299999997</v>
      </c>
      <c r="O18" s="229" t="s">
        <v>24</v>
      </c>
      <c r="P18" s="247">
        <f>SUM(P9:P17)</f>
        <v>4219822.16</v>
      </c>
      <c r="Q18" s="247">
        <f>SUM(Q9:Q17)</f>
        <v>1857327.8</v>
      </c>
    </row>
    <row r="19" spans="1:17" x14ac:dyDescent="0.3">
      <c r="C19" s="297"/>
      <c r="D19" s="297"/>
      <c r="E19" s="297"/>
      <c r="F19" s="297"/>
      <c r="G19" s="297"/>
      <c r="H19" s="297"/>
    </row>
    <row r="20" spans="1:17" x14ac:dyDescent="0.3">
      <c r="C20" s="297"/>
      <c r="D20" s="297"/>
      <c r="E20" s="297"/>
      <c r="F20" s="297"/>
      <c r="G20" s="297"/>
      <c r="H20" s="297"/>
    </row>
  </sheetData>
  <mergeCells count="20">
    <mergeCell ref="A1:Q1"/>
    <mergeCell ref="L4:Q4"/>
    <mergeCell ref="A4:A7"/>
    <mergeCell ref="B4:B7"/>
    <mergeCell ref="C4:C7"/>
    <mergeCell ref="I4:I7"/>
    <mergeCell ref="J4:J7"/>
    <mergeCell ref="K4:K7"/>
    <mergeCell ref="D4:H5"/>
    <mergeCell ref="L5:L7"/>
    <mergeCell ref="Q5:Q7"/>
    <mergeCell ref="M5:P5"/>
    <mergeCell ref="M6:N6"/>
    <mergeCell ref="O6:P6"/>
    <mergeCell ref="D6:D7"/>
    <mergeCell ref="E6:E7"/>
    <mergeCell ref="F6:F7"/>
    <mergeCell ref="G6:G7"/>
    <mergeCell ref="H6:H7"/>
    <mergeCell ref="A2:Q2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62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31" zoomScale="80" zoomScaleNormal="80" workbookViewId="0">
      <selection activeCell="G36" sqref="G36"/>
    </sheetView>
  </sheetViews>
  <sheetFormatPr defaultColWidth="9.109375" defaultRowHeight="15.6" x14ac:dyDescent="0.3"/>
  <cols>
    <col min="1" max="1" width="4.6640625" style="1" customWidth="1"/>
    <col min="2" max="2" width="50.6640625" style="1" customWidth="1"/>
    <col min="3" max="3" width="15.6640625" style="1" customWidth="1"/>
    <col min="4" max="4" width="9.6640625" style="1" customWidth="1"/>
    <col min="5" max="6" width="15.6640625" style="1" customWidth="1"/>
    <col min="7" max="8" width="15.6640625" style="57" customWidth="1"/>
    <col min="9" max="16384" width="9.109375" style="57"/>
  </cols>
  <sheetData>
    <row r="1" spans="1:8" x14ac:dyDescent="0.3">
      <c r="A1" s="641" t="s">
        <v>578</v>
      </c>
      <c r="B1" s="641"/>
      <c r="C1" s="641"/>
      <c r="D1" s="641"/>
      <c r="E1" s="641"/>
      <c r="F1" s="641"/>
      <c r="G1" s="641"/>
      <c r="H1" s="641"/>
    </row>
    <row r="2" spans="1:8" x14ac:dyDescent="0.3">
      <c r="A2" s="641" t="s">
        <v>603</v>
      </c>
      <c r="B2" s="641"/>
      <c r="C2" s="641"/>
      <c r="D2" s="641"/>
      <c r="E2" s="641"/>
      <c r="F2" s="641"/>
      <c r="G2" s="641"/>
      <c r="H2" s="641"/>
    </row>
    <row r="3" spans="1:8" x14ac:dyDescent="0.3">
      <c r="C3" s="12"/>
    </row>
    <row r="4" spans="1:8" s="58" customFormat="1" ht="33" customHeight="1" x14ac:dyDescent="0.3">
      <c r="A4" s="522" t="s">
        <v>1</v>
      </c>
      <c r="B4" s="522" t="s">
        <v>469</v>
      </c>
      <c r="C4" s="522" t="s">
        <v>509</v>
      </c>
      <c r="D4" s="522" t="s">
        <v>510</v>
      </c>
      <c r="E4" s="522" t="s">
        <v>511</v>
      </c>
      <c r="F4" s="522" t="s">
        <v>599</v>
      </c>
      <c r="G4" s="639" t="s">
        <v>396</v>
      </c>
      <c r="H4" s="639"/>
    </row>
    <row r="5" spans="1:8" s="58" customFormat="1" ht="78" x14ac:dyDescent="0.3">
      <c r="A5" s="522"/>
      <c r="B5" s="522"/>
      <c r="C5" s="522"/>
      <c r="D5" s="522"/>
      <c r="E5" s="522"/>
      <c r="F5" s="522"/>
      <c r="G5" s="300" t="s">
        <v>401</v>
      </c>
      <c r="H5" s="300" t="s">
        <v>402</v>
      </c>
    </row>
    <row r="6" spans="1:8" s="58" customFormat="1" x14ac:dyDescent="0.3">
      <c r="A6" s="293">
        <v>1</v>
      </c>
      <c r="B6" s="293">
        <v>2</v>
      </c>
      <c r="C6" s="294">
        <v>3</v>
      </c>
      <c r="D6" s="293">
        <v>4</v>
      </c>
      <c r="E6" s="293">
        <v>5</v>
      </c>
      <c r="F6" s="293">
        <v>6</v>
      </c>
      <c r="G6" s="293">
        <v>7</v>
      </c>
      <c r="H6" s="293">
        <v>8</v>
      </c>
    </row>
    <row r="7" spans="1:8" x14ac:dyDescent="0.3">
      <c r="A7" s="674" t="s">
        <v>607</v>
      </c>
      <c r="B7" s="675"/>
      <c r="C7" s="675"/>
      <c r="D7" s="675"/>
      <c r="E7" s="675"/>
      <c r="F7" s="675"/>
      <c r="G7" s="675"/>
      <c r="H7" s="685"/>
    </row>
    <row r="8" spans="1:8" s="85" customFormat="1" ht="16.2" x14ac:dyDescent="0.35">
      <c r="A8" s="254">
        <v>1</v>
      </c>
      <c r="B8" s="253" t="s">
        <v>608</v>
      </c>
      <c r="C8" s="262" t="s">
        <v>24</v>
      </c>
      <c r="D8" s="254" t="s">
        <v>24</v>
      </c>
      <c r="E8" s="93" t="s">
        <v>24</v>
      </c>
      <c r="F8" s="103">
        <f>SUM(F9:F11)</f>
        <v>185621.76000000001</v>
      </c>
      <c r="G8" s="103">
        <f t="shared" ref="G8:H8" si="0">SUM(G9:G11)</f>
        <v>134421.76000000001</v>
      </c>
      <c r="H8" s="103">
        <f t="shared" si="0"/>
        <v>51200</v>
      </c>
    </row>
    <row r="9" spans="1:8" ht="31.2" x14ac:dyDescent="0.3">
      <c r="A9" s="202"/>
      <c r="B9" s="255" t="s">
        <v>611</v>
      </c>
      <c r="C9" s="245" t="s">
        <v>817</v>
      </c>
      <c r="D9" s="361">
        <v>12</v>
      </c>
      <c r="E9" s="341">
        <v>15468.48</v>
      </c>
      <c r="F9" s="98">
        <f t="shared" ref="F9:F11" si="1">D9*E9</f>
        <v>185621.76000000001</v>
      </c>
      <c r="G9" s="98">
        <v>134421.76000000001</v>
      </c>
      <c r="H9" s="98">
        <v>51200</v>
      </c>
    </row>
    <row r="10" spans="1:8" x14ac:dyDescent="0.3">
      <c r="A10" s="202"/>
      <c r="B10" s="255" t="s">
        <v>612</v>
      </c>
      <c r="C10" s="245"/>
      <c r="D10" s="361"/>
      <c r="E10" s="341"/>
      <c r="F10" s="98">
        <f t="shared" si="1"/>
        <v>0</v>
      </c>
      <c r="G10" s="98"/>
      <c r="H10" s="98"/>
    </row>
    <row r="11" spans="1:8" x14ac:dyDescent="0.3">
      <c r="A11" s="202"/>
      <c r="B11" s="255" t="s">
        <v>609</v>
      </c>
      <c r="C11" s="245"/>
      <c r="D11" s="361"/>
      <c r="E11" s="341"/>
      <c r="F11" s="98">
        <f t="shared" si="1"/>
        <v>0</v>
      </c>
      <c r="G11" s="98"/>
      <c r="H11" s="98"/>
    </row>
    <row r="12" spans="1:8" s="85" customFormat="1" ht="16.2" x14ac:dyDescent="0.35">
      <c r="A12" s="254">
        <v>2</v>
      </c>
      <c r="B12" s="253" t="s">
        <v>610</v>
      </c>
      <c r="C12" s="262" t="s">
        <v>24</v>
      </c>
      <c r="D12" s="152" t="s">
        <v>24</v>
      </c>
      <c r="E12" s="337" t="s">
        <v>24</v>
      </c>
      <c r="F12" s="103">
        <f>SUM(F13:F15)</f>
        <v>212400</v>
      </c>
      <c r="G12" s="103">
        <f>SUM(G13:G15)</f>
        <v>212400</v>
      </c>
      <c r="H12" s="103">
        <f>SUM(H13:H15)</f>
        <v>0</v>
      </c>
    </row>
    <row r="13" spans="1:8" ht="31.2" x14ac:dyDescent="0.3">
      <c r="A13" s="202"/>
      <c r="B13" s="255" t="s">
        <v>613</v>
      </c>
      <c r="C13" s="245" t="s">
        <v>817</v>
      </c>
      <c r="D13" s="361">
        <v>12</v>
      </c>
      <c r="E13" s="341">
        <v>1700</v>
      </c>
      <c r="F13" s="98">
        <f t="shared" ref="F13:F15" si="2">D13*E13</f>
        <v>20400</v>
      </c>
      <c r="G13" s="98">
        <v>20400</v>
      </c>
      <c r="H13" s="98"/>
    </row>
    <row r="14" spans="1:8" ht="31.2" x14ac:dyDescent="0.3">
      <c r="A14" s="202"/>
      <c r="B14" s="255" t="s">
        <v>614</v>
      </c>
      <c r="C14" s="245" t="s">
        <v>817</v>
      </c>
      <c r="D14" s="361">
        <v>12</v>
      </c>
      <c r="E14" s="341">
        <v>16000</v>
      </c>
      <c r="F14" s="98">
        <f t="shared" si="2"/>
        <v>192000</v>
      </c>
      <c r="G14" s="98">
        <v>192000</v>
      </c>
      <c r="H14" s="98"/>
    </row>
    <row r="15" spans="1:8" x14ac:dyDescent="0.3">
      <c r="A15" s="202"/>
      <c r="B15" s="255"/>
      <c r="C15" s="245"/>
      <c r="D15" s="179"/>
      <c r="E15" s="98"/>
      <c r="F15" s="98">
        <f t="shared" si="2"/>
        <v>0</v>
      </c>
      <c r="G15" s="98"/>
      <c r="H15" s="98"/>
    </row>
    <row r="16" spans="1:8" ht="32.4" x14ac:dyDescent="0.35">
      <c r="A16" s="254">
        <v>3</v>
      </c>
      <c r="B16" s="253" t="s">
        <v>615</v>
      </c>
      <c r="C16" s="262" t="s">
        <v>24</v>
      </c>
      <c r="D16" s="254" t="s">
        <v>24</v>
      </c>
      <c r="E16" s="93" t="s">
        <v>24</v>
      </c>
      <c r="F16" s="103">
        <f>SUM(F17:F19)</f>
        <v>0</v>
      </c>
      <c r="G16" s="103">
        <f t="shared" ref="G16:H16" si="3">SUM(G17:G19)</f>
        <v>0</v>
      </c>
      <c r="H16" s="103">
        <f t="shared" si="3"/>
        <v>0</v>
      </c>
    </row>
    <row r="17" spans="1:8" x14ac:dyDescent="0.3">
      <c r="A17" s="202"/>
      <c r="B17" s="255" t="s">
        <v>616</v>
      </c>
      <c r="C17" s="245"/>
      <c r="D17" s="179"/>
      <c r="E17" s="98"/>
      <c r="F17" s="98">
        <f t="shared" ref="F17:F19" si="4">D17*E17</f>
        <v>0</v>
      </c>
      <c r="G17" s="98"/>
      <c r="H17" s="98"/>
    </row>
    <row r="18" spans="1:8" s="85" customFormat="1" ht="16.2" x14ac:dyDescent="0.35">
      <c r="A18" s="202"/>
      <c r="B18" s="255" t="s">
        <v>644</v>
      </c>
      <c r="C18" s="245"/>
      <c r="D18" s="179"/>
      <c r="E18" s="98"/>
      <c r="F18" s="98">
        <f t="shared" si="4"/>
        <v>0</v>
      </c>
      <c r="G18" s="98"/>
      <c r="H18" s="98"/>
    </row>
    <row r="19" spans="1:8" x14ac:dyDescent="0.3">
      <c r="A19" s="202"/>
      <c r="B19" s="255"/>
      <c r="C19" s="245"/>
      <c r="D19" s="179"/>
      <c r="E19" s="98"/>
      <c r="F19" s="98">
        <f t="shared" si="4"/>
        <v>0</v>
      </c>
      <c r="G19" s="98"/>
      <c r="H19" s="98"/>
    </row>
    <row r="20" spans="1:8" ht="32.4" x14ac:dyDescent="0.35">
      <c r="A20" s="254">
        <v>4</v>
      </c>
      <c r="B20" s="253" t="s">
        <v>617</v>
      </c>
      <c r="C20" s="262" t="s">
        <v>24</v>
      </c>
      <c r="D20" s="254" t="s">
        <v>24</v>
      </c>
      <c r="E20" s="93" t="s">
        <v>24</v>
      </c>
      <c r="F20" s="103">
        <f>SUM(F21:F23)</f>
        <v>23760</v>
      </c>
      <c r="G20" s="103">
        <f t="shared" ref="G20:H20" si="5">SUM(G21:G23)</f>
        <v>23760</v>
      </c>
      <c r="H20" s="103">
        <f t="shared" si="5"/>
        <v>0</v>
      </c>
    </row>
    <row r="21" spans="1:8" ht="31.2" x14ac:dyDescent="0.3">
      <c r="A21" s="202"/>
      <c r="B21" s="255" t="s">
        <v>664</v>
      </c>
      <c r="C21" s="245" t="s">
        <v>817</v>
      </c>
      <c r="D21" s="179">
        <v>12</v>
      </c>
      <c r="E21" s="98">
        <v>1980</v>
      </c>
      <c r="F21" s="98">
        <f t="shared" ref="F21:F23" si="6">D21*E21</f>
        <v>23760</v>
      </c>
      <c r="G21" s="98">
        <v>23760</v>
      </c>
      <c r="H21" s="98"/>
    </row>
    <row r="22" spans="1:8" s="85" customFormat="1" ht="16.2" x14ac:dyDescent="0.35">
      <c r="A22" s="202"/>
      <c r="B22" s="255"/>
      <c r="C22" s="245"/>
      <c r="D22" s="179"/>
      <c r="E22" s="98"/>
      <c r="F22" s="98">
        <f t="shared" si="6"/>
        <v>0</v>
      </c>
      <c r="G22" s="98"/>
      <c r="H22" s="98"/>
    </row>
    <row r="23" spans="1:8" x14ac:dyDescent="0.3">
      <c r="A23" s="202"/>
      <c r="B23" s="255"/>
      <c r="C23" s="245"/>
      <c r="D23" s="179"/>
      <c r="E23" s="98"/>
      <c r="F23" s="98">
        <f t="shared" si="6"/>
        <v>0</v>
      </c>
      <c r="G23" s="98"/>
      <c r="H23" s="98"/>
    </row>
    <row r="24" spans="1:8" ht="48.6" x14ac:dyDescent="0.35">
      <c r="A24" s="254">
        <v>5</v>
      </c>
      <c r="B24" s="253" t="s">
        <v>618</v>
      </c>
      <c r="C24" s="262" t="s">
        <v>24</v>
      </c>
      <c r="D24" s="254" t="s">
        <v>24</v>
      </c>
      <c r="E24" s="93" t="s">
        <v>24</v>
      </c>
      <c r="F24" s="103">
        <f>SUM(F25:F29)</f>
        <v>129800</v>
      </c>
      <c r="G24" s="103">
        <f>SUM(G25:G29)</f>
        <v>103000</v>
      </c>
      <c r="H24" s="103">
        <f>SUM(H25:H29)</f>
        <v>26800</v>
      </c>
    </row>
    <row r="25" spans="1:8" ht="31.2" x14ac:dyDescent="0.3">
      <c r="A25" s="202"/>
      <c r="B25" s="255" t="s">
        <v>619</v>
      </c>
      <c r="C25" s="245" t="s">
        <v>457</v>
      </c>
      <c r="D25" s="179">
        <v>12</v>
      </c>
      <c r="E25" s="98">
        <v>2000</v>
      </c>
      <c r="F25" s="98">
        <f t="shared" ref="F25:F29" si="7">D25*E25</f>
        <v>24000</v>
      </c>
      <c r="G25" s="98">
        <v>24000</v>
      </c>
      <c r="H25" s="98"/>
    </row>
    <row r="26" spans="1:8" s="85" customFormat="1" ht="16.2" x14ac:dyDescent="0.35">
      <c r="A26" s="202"/>
      <c r="B26" s="255" t="s">
        <v>620</v>
      </c>
      <c r="C26" s="245"/>
      <c r="D26" s="179"/>
      <c r="E26" s="98"/>
      <c r="F26" s="98">
        <f t="shared" si="7"/>
        <v>0</v>
      </c>
      <c r="G26" s="98"/>
      <c r="H26" s="98"/>
    </row>
    <row r="27" spans="1:8" x14ac:dyDescent="0.3">
      <c r="A27" s="202"/>
      <c r="B27" s="255" t="s">
        <v>621</v>
      </c>
      <c r="C27" s="245" t="s">
        <v>457</v>
      </c>
      <c r="D27" s="179">
        <v>4</v>
      </c>
      <c r="E27" s="98">
        <v>1700</v>
      </c>
      <c r="F27" s="98">
        <f t="shared" si="7"/>
        <v>6800</v>
      </c>
      <c r="G27" s="98"/>
      <c r="H27" s="98">
        <v>6800</v>
      </c>
    </row>
    <row r="28" spans="1:8" ht="31.2" x14ac:dyDescent="0.3">
      <c r="A28" s="202"/>
      <c r="B28" s="255" t="s">
        <v>622</v>
      </c>
      <c r="C28" s="245" t="s">
        <v>817</v>
      </c>
      <c r="D28" s="179">
        <v>12</v>
      </c>
      <c r="E28" s="98">
        <v>8250</v>
      </c>
      <c r="F28" s="98">
        <f t="shared" si="7"/>
        <v>99000</v>
      </c>
      <c r="G28" s="98">
        <v>79000</v>
      </c>
      <c r="H28" s="98">
        <v>20000</v>
      </c>
    </row>
    <row r="29" spans="1:8" x14ac:dyDescent="0.3">
      <c r="A29" s="202"/>
      <c r="B29" s="255"/>
      <c r="C29" s="245"/>
      <c r="D29" s="179"/>
      <c r="E29" s="98"/>
      <c r="F29" s="98">
        <f t="shared" si="7"/>
        <v>0</v>
      </c>
      <c r="G29" s="98"/>
      <c r="H29" s="98"/>
    </row>
    <row r="30" spans="1:8" ht="16.2" x14ac:dyDescent="0.35">
      <c r="A30" s="254">
        <v>6</v>
      </c>
      <c r="B30" s="253" t="s">
        <v>631</v>
      </c>
      <c r="C30" s="262" t="s">
        <v>24</v>
      </c>
      <c r="D30" s="254" t="s">
        <v>24</v>
      </c>
      <c r="E30" s="93" t="s">
        <v>24</v>
      </c>
      <c r="F30" s="103">
        <f>SUM(F31:F35)</f>
        <v>231530</v>
      </c>
      <c r="G30" s="103">
        <f t="shared" ref="G30:H30" si="8">SUM(G31:G35)</f>
        <v>181524.93</v>
      </c>
      <c r="H30" s="103">
        <f t="shared" si="8"/>
        <v>50005.07</v>
      </c>
    </row>
    <row r="31" spans="1:8" ht="31.2" x14ac:dyDescent="0.3">
      <c r="A31" s="202"/>
      <c r="B31" s="255" t="s">
        <v>624</v>
      </c>
      <c r="C31" s="245"/>
      <c r="D31" s="179"/>
      <c r="E31" s="98"/>
      <c r="F31" s="98">
        <f t="shared" ref="F31:F35" si="9">D31*E31</f>
        <v>0</v>
      </c>
      <c r="G31" s="98"/>
      <c r="H31" s="98"/>
    </row>
    <row r="32" spans="1:8" s="85" customFormat="1" ht="31.8" x14ac:dyDescent="0.35">
      <c r="A32" s="202"/>
      <c r="B32" s="255" t="s">
        <v>626</v>
      </c>
      <c r="C32" s="245" t="s">
        <v>817</v>
      </c>
      <c r="D32" s="179">
        <v>1</v>
      </c>
      <c r="E32" s="98">
        <v>89000</v>
      </c>
      <c r="F32" s="98">
        <f t="shared" si="9"/>
        <v>89000</v>
      </c>
      <c r="G32" s="98">
        <v>89000</v>
      </c>
      <c r="H32" s="98"/>
    </row>
    <row r="33" spans="1:8" ht="31.2" x14ac:dyDescent="0.3">
      <c r="A33" s="202"/>
      <c r="B33" s="360" t="s">
        <v>627</v>
      </c>
      <c r="C33" s="323" t="s">
        <v>817</v>
      </c>
      <c r="D33" s="179">
        <v>1</v>
      </c>
      <c r="E33" s="98">
        <v>99000</v>
      </c>
      <c r="F33" s="98">
        <f t="shared" si="9"/>
        <v>99000</v>
      </c>
      <c r="G33" s="98">
        <v>72524.929999999993</v>
      </c>
      <c r="H33" s="98">
        <v>26475.07</v>
      </c>
    </row>
    <row r="34" spans="1:8" ht="31.2" x14ac:dyDescent="0.3">
      <c r="A34" s="202"/>
      <c r="B34" s="255" t="s">
        <v>628</v>
      </c>
      <c r="C34" s="245" t="s">
        <v>817</v>
      </c>
      <c r="D34" s="179">
        <v>3</v>
      </c>
      <c r="E34" s="98">
        <v>14510</v>
      </c>
      <c r="F34" s="98">
        <f t="shared" si="9"/>
        <v>43530</v>
      </c>
      <c r="G34" s="98">
        <v>20000</v>
      </c>
      <c r="H34" s="98">
        <v>23530</v>
      </c>
    </row>
    <row r="35" spans="1:8" ht="16.2" x14ac:dyDescent="0.35">
      <c r="A35" s="254"/>
      <c r="B35" s="255"/>
      <c r="C35" s="262"/>
      <c r="D35" s="254"/>
      <c r="E35" s="93"/>
      <c r="F35" s="98">
        <f t="shared" si="9"/>
        <v>0</v>
      </c>
      <c r="G35" s="98"/>
      <c r="H35" s="98"/>
    </row>
    <row r="36" spans="1:8" x14ac:dyDescent="0.3">
      <c r="A36" s="303"/>
      <c r="B36" s="242" t="s">
        <v>385</v>
      </c>
      <c r="C36" s="307" t="s">
        <v>24</v>
      </c>
      <c r="D36" s="238" t="s">
        <v>24</v>
      </c>
      <c r="E36" s="238" t="s">
        <v>24</v>
      </c>
      <c r="F36" s="101">
        <f>F8+F12+F16+F20+F24+F30</f>
        <v>783111.76</v>
      </c>
      <c r="G36" s="101">
        <f>G8+G12+G16+G20+G24+G30</f>
        <v>655106.68999999994</v>
      </c>
      <c r="H36" s="101">
        <f>H8+H12+H16+H20+H24+H30</f>
        <v>128005.07</v>
      </c>
    </row>
    <row r="37" spans="1:8" s="85" customFormat="1" ht="16.2" x14ac:dyDescent="0.35">
      <c r="A37" s="674" t="s">
        <v>695</v>
      </c>
      <c r="B37" s="675"/>
      <c r="C37" s="675"/>
      <c r="D37" s="675"/>
      <c r="E37" s="675"/>
      <c r="F37" s="675"/>
      <c r="G37" s="675"/>
      <c r="H37" s="685"/>
    </row>
    <row r="38" spans="1:8" s="194" customFormat="1" ht="16.2" x14ac:dyDescent="0.35">
      <c r="A38" s="254">
        <v>1</v>
      </c>
      <c r="B38" s="253" t="s">
        <v>633</v>
      </c>
      <c r="C38" s="262" t="s">
        <v>24</v>
      </c>
      <c r="D38" s="254" t="s">
        <v>24</v>
      </c>
      <c r="E38" s="93" t="s">
        <v>24</v>
      </c>
      <c r="F38" s="103">
        <f>SUM(F39:F40)</f>
        <v>367500</v>
      </c>
      <c r="G38" s="103">
        <f>SUM(G39:G40)</f>
        <v>169472.84</v>
      </c>
      <c r="H38" s="103">
        <f>SUM(H39:H40)</f>
        <v>198027.16</v>
      </c>
    </row>
    <row r="39" spans="1:8" ht="31.2" x14ac:dyDescent="0.3">
      <c r="A39" s="202"/>
      <c r="B39" s="255" t="s">
        <v>635</v>
      </c>
      <c r="C39" s="245" t="s">
        <v>818</v>
      </c>
      <c r="D39" s="179">
        <v>67</v>
      </c>
      <c r="E39" s="98">
        <v>2500</v>
      </c>
      <c r="F39" s="98">
        <f t="shared" ref="F39:F40" si="10">D39*E39</f>
        <v>167500</v>
      </c>
      <c r="G39" s="98">
        <v>120500</v>
      </c>
      <c r="H39" s="98">
        <v>47000</v>
      </c>
    </row>
    <row r="40" spans="1:8" s="85" customFormat="1" ht="16.2" x14ac:dyDescent="0.35">
      <c r="A40" s="202"/>
      <c r="B40" s="255" t="s">
        <v>819</v>
      </c>
      <c r="C40" s="245"/>
      <c r="D40" s="179">
        <v>4</v>
      </c>
      <c r="E40" s="98">
        <v>50000</v>
      </c>
      <c r="F40" s="98">
        <f t="shared" si="10"/>
        <v>200000</v>
      </c>
      <c r="G40" s="98">
        <v>48972.84</v>
      </c>
      <c r="H40" s="98">
        <v>151027.16</v>
      </c>
    </row>
    <row r="41" spans="1:8" x14ac:dyDescent="0.3">
      <c r="A41" s="674" t="s">
        <v>634</v>
      </c>
      <c r="B41" s="675"/>
      <c r="C41" s="675"/>
      <c r="D41" s="675"/>
      <c r="E41" s="675"/>
      <c r="F41" s="675"/>
      <c r="G41" s="675"/>
      <c r="H41" s="685"/>
    </row>
    <row r="42" spans="1:8" ht="32.4" x14ac:dyDescent="0.35">
      <c r="A42" s="254">
        <v>1</v>
      </c>
      <c r="B42" s="253" t="s">
        <v>637</v>
      </c>
      <c r="C42" s="262" t="s">
        <v>24</v>
      </c>
      <c r="D42" s="254" t="s">
        <v>24</v>
      </c>
      <c r="E42" s="93" t="s">
        <v>24</v>
      </c>
      <c r="F42" s="103">
        <f>SUM(F43:F49)</f>
        <v>137250</v>
      </c>
      <c r="G42" s="103">
        <f>SUM(G43:G49)</f>
        <v>102150</v>
      </c>
      <c r="H42" s="103">
        <f>SUM(H43:H49)</f>
        <v>35100</v>
      </c>
    </row>
    <row r="43" spans="1:8" ht="31.2" x14ac:dyDescent="0.3">
      <c r="A43" s="202"/>
      <c r="B43" s="255" t="s">
        <v>632</v>
      </c>
      <c r="C43" s="245"/>
      <c r="D43" s="179"/>
      <c r="E43" s="98"/>
      <c r="F43" s="98">
        <f t="shared" ref="F43:F49" si="11">D43*E43</f>
        <v>0</v>
      </c>
      <c r="G43" s="98"/>
      <c r="H43" s="98"/>
    </row>
    <row r="44" spans="1:8" s="85" customFormat="1" ht="16.2" x14ac:dyDescent="0.35">
      <c r="A44" s="202"/>
      <c r="B44" s="255" t="s">
        <v>629</v>
      </c>
      <c r="C44" s="245"/>
      <c r="D44" s="179">
        <v>4</v>
      </c>
      <c r="E44" s="98">
        <v>10100</v>
      </c>
      <c r="F44" s="98">
        <f t="shared" si="11"/>
        <v>40400</v>
      </c>
      <c r="G44" s="98">
        <v>40400</v>
      </c>
      <c r="H44" s="98"/>
    </row>
    <row r="45" spans="1:8" ht="31.2" x14ac:dyDescent="0.3">
      <c r="A45" s="202"/>
      <c r="B45" s="255" t="s">
        <v>623</v>
      </c>
      <c r="C45" s="245">
        <v>1</v>
      </c>
      <c r="D45" s="179">
        <v>3</v>
      </c>
      <c r="E45" s="98">
        <v>1700</v>
      </c>
      <c r="F45" s="98">
        <f t="shared" si="11"/>
        <v>5100</v>
      </c>
      <c r="G45" s="98">
        <v>5100</v>
      </c>
      <c r="H45" s="98"/>
    </row>
    <row r="46" spans="1:8" ht="46.8" x14ac:dyDescent="0.3">
      <c r="A46" s="202"/>
      <c r="B46" s="255" t="s">
        <v>666</v>
      </c>
      <c r="C46" s="245" t="s">
        <v>817</v>
      </c>
      <c r="D46" s="179">
        <v>5</v>
      </c>
      <c r="E46" s="98">
        <v>16100</v>
      </c>
      <c r="F46" s="98">
        <f t="shared" si="11"/>
        <v>80500</v>
      </c>
      <c r="G46" s="98">
        <v>56650</v>
      </c>
      <c r="H46" s="98">
        <v>23850</v>
      </c>
    </row>
    <row r="47" spans="1:8" ht="31.2" x14ac:dyDescent="0.3">
      <c r="A47" s="202"/>
      <c r="B47" s="255" t="s">
        <v>665</v>
      </c>
      <c r="C47" s="245" t="s">
        <v>817</v>
      </c>
      <c r="D47" s="179">
        <v>25</v>
      </c>
      <c r="E47" s="98">
        <v>450</v>
      </c>
      <c r="F47" s="98">
        <f t="shared" si="11"/>
        <v>11250</v>
      </c>
      <c r="G47" s="98"/>
      <c r="H47" s="98">
        <v>11250</v>
      </c>
    </row>
    <row r="48" spans="1:8" x14ac:dyDescent="0.3">
      <c r="A48" s="202"/>
      <c r="B48" s="255" t="s">
        <v>625</v>
      </c>
      <c r="C48" s="245"/>
      <c r="D48" s="179"/>
      <c r="E48" s="98"/>
      <c r="F48" s="98">
        <f t="shared" si="11"/>
        <v>0</v>
      </c>
      <c r="G48" s="98"/>
      <c r="H48" s="98"/>
    </row>
    <row r="49" spans="1:8" x14ac:dyDescent="0.3">
      <c r="A49" s="202"/>
      <c r="B49" s="255"/>
      <c r="C49" s="245"/>
      <c r="D49" s="179"/>
      <c r="E49" s="98"/>
      <c r="F49" s="98">
        <f t="shared" si="11"/>
        <v>0</v>
      </c>
      <c r="G49" s="98"/>
      <c r="H49" s="98"/>
    </row>
    <row r="50" spans="1:8" x14ac:dyDescent="0.3">
      <c r="A50" s="202"/>
      <c r="B50" s="255" t="s">
        <v>385</v>
      </c>
      <c r="C50" s="245"/>
      <c r="D50" s="179"/>
      <c r="E50" s="98"/>
      <c r="F50" s="98"/>
      <c r="G50" s="98"/>
      <c r="H50" s="98"/>
    </row>
    <row r="51" spans="1:8" x14ac:dyDescent="0.3">
      <c r="A51" s="303"/>
      <c r="B51" s="242" t="s">
        <v>707</v>
      </c>
      <c r="C51" s="307" t="s">
        <v>24</v>
      </c>
      <c r="D51" s="238" t="s">
        <v>24</v>
      </c>
      <c r="E51" s="238" t="s">
        <v>24</v>
      </c>
      <c r="F51" s="101">
        <f>F36+F38+F42</f>
        <v>1287861.76</v>
      </c>
      <c r="G51" s="101">
        <f>G36+G38+G42</f>
        <v>926729.53</v>
      </c>
      <c r="H51" s="336">
        <f>H36+H38+H42</f>
        <v>361132.23</v>
      </c>
    </row>
    <row r="52" spans="1:8" x14ac:dyDescent="0.3">
      <c r="C52" s="12"/>
      <c r="G52" s="359">
        <f>G51+'223'!L16</f>
        <v>1105856.74</v>
      </c>
      <c r="H52" s="477">
        <f>H51+'223'!Q16</f>
        <v>381132.23</v>
      </c>
    </row>
  </sheetData>
  <mergeCells count="12">
    <mergeCell ref="A37:H37"/>
    <mergeCell ref="A41:H41"/>
    <mergeCell ref="A7:H7"/>
    <mergeCell ref="A1:H1"/>
    <mergeCell ref="A2:H2"/>
    <mergeCell ref="G4:H4"/>
    <mergeCell ref="A4:A5"/>
    <mergeCell ref="B4:B5"/>
    <mergeCell ref="C4:C5"/>
    <mergeCell ref="D4:D5"/>
    <mergeCell ref="F4:F5"/>
    <mergeCell ref="E4:E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64" fitToHeight="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zoomScale="80" zoomScaleNormal="80" workbookViewId="0">
      <selection activeCell="H79" sqref="H79"/>
    </sheetView>
  </sheetViews>
  <sheetFormatPr defaultColWidth="9.109375" defaultRowHeight="15.6" x14ac:dyDescent="0.3"/>
  <cols>
    <col min="1" max="1" width="4.6640625" style="363" customWidth="1"/>
    <col min="2" max="2" width="50.6640625" style="363" customWidth="1"/>
    <col min="3" max="3" width="15.6640625" style="363" customWidth="1"/>
    <col min="4" max="4" width="9.6640625" style="363" customWidth="1"/>
    <col min="5" max="6" width="15.6640625" style="363" customWidth="1"/>
    <col min="7" max="8" width="15.6640625" style="362" customWidth="1"/>
    <col min="9" max="16384" width="9.109375" style="362"/>
  </cols>
  <sheetData>
    <row r="1" spans="1:8" x14ac:dyDescent="0.3">
      <c r="A1" s="688" t="s">
        <v>579</v>
      </c>
      <c r="B1" s="688"/>
      <c r="C1" s="688"/>
      <c r="D1" s="688"/>
      <c r="E1" s="688"/>
      <c r="F1" s="688"/>
      <c r="G1" s="688"/>
      <c r="H1" s="688"/>
    </row>
    <row r="2" spans="1:8" x14ac:dyDescent="0.3">
      <c r="A2" s="688" t="s">
        <v>639</v>
      </c>
      <c r="B2" s="688"/>
      <c r="C2" s="688"/>
      <c r="D2" s="688"/>
      <c r="E2" s="688"/>
      <c r="F2" s="688"/>
      <c r="G2" s="688"/>
      <c r="H2" s="688"/>
    </row>
    <row r="3" spans="1:8" x14ac:dyDescent="0.3">
      <c r="C3" s="364"/>
    </row>
    <row r="4" spans="1:8" s="365" customFormat="1" ht="33" customHeight="1" x14ac:dyDescent="0.3">
      <c r="A4" s="640" t="s">
        <v>1</v>
      </c>
      <c r="B4" s="640" t="s">
        <v>469</v>
      </c>
      <c r="C4" s="640" t="s">
        <v>509</v>
      </c>
      <c r="D4" s="640" t="s">
        <v>510</v>
      </c>
      <c r="E4" s="640" t="s">
        <v>511</v>
      </c>
      <c r="F4" s="640" t="s">
        <v>599</v>
      </c>
      <c r="G4" s="689" t="s">
        <v>396</v>
      </c>
      <c r="H4" s="689"/>
    </row>
    <row r="5" spans="1:8" s="365" customFormat="1" ht="78" x14ac:dyDescent="0.3">
      <c r="A5" s="640"/>
      <c r="B5" s="640"/>
      <c r="C5" s="640"/>
      <c r="D5" s="640"/>
      <c r="E5" s="640"/>
      <c r="F5" s="640"/>
      <c r="G5" s="366" t="s">
        <v>401</v>
      </c>
      <c r="H5" s="366" t="s">
        <v>402</v>
      </c>
    </row>
    <row r="6" spans="1:8" s="365" customFormat="1" x14ac:dyDescent="0.3">
      <c r="A6" s="367">
        <v>1</v>
      </c>
      <c r="B6" s="367">
        <v>2</v>
      </c>
      <c r="C6" s="368">
        <v>3</v>
      </c>
      <c r="D6" s="367">
        <v>4</v>
      </c>
      <c r="E6" s="367">
        <v>5</v>
      </c>
      <c r="F6" s="367">
        <v>6</v>
      </c>
      <c r="G6" s="367">
        <v>7</v>
      </c>
      <c r="H6" s="367">
        <v>8</v>
      </c>
    </row>
    <row r="7" spans="1:8" x14ac:dyDescent="0.3">
      <c r="A7" s="687" t="s">
        <v>681</v>
      </c>
      <c r="B7" s="687"/>
      <c r="C7" s="687"/>
      <c r="D7" s="687"/>
      <c r="E7" s="687"/>
      <c r="F7" s="687"/>
      <c r="G7" s="687"/>
      <c r="H7" s="687"/>
    </row>
    <row r="8" spans="1:8" s="370" customFormat="1" ht="48.6" x14ac:dyDescent="0.35">
      <c r="A8" s="152">
        <v>1</v>
      </c>
      <c r="B8" s="146" t="s">
        <v>674</v>
      </c>
      <c r="C8" s="369" t="s">
        <v>24</v>
      </c>
      <c r="D8" s="152" t="s">
        <v>24</v>
      </c>
      <c r="E8" s="337" t="s">
        <v>24</v>
      </c>
      <c r="F8" s="335">
        <f>SUM(F9:F12)</f>
        <v>146500</v>
      </c>
      <c r="G8" s="335">
        <f t="shared" ref="G8:H8" si="0">SUM(G9:G12)</f>
        <v>146500</v>
      </c>
      <c r="H8" s="335">
        <f t="shared" si="0"/>
        <v>0</v>
      </c>
    </row>
    <row r="9" spans="1:8" x14ac:dyDescent="0.3">
      <c r="A9" s="148"/>
      <c r="B9" s="360" t="s">
        <v>641</v>
      </c>
      <c r="C9" s="323" t="s">
        <v>820</v>
      </c>
      <c r="D9" s="361">
        <v>15</v>
      </c>
      <c r="E9" s="341">
        <v>5000</v>
      </c>
      <c r="F9" s="341">
        <f t="shared" ref="F9:F12" si="1">D9*E9</f>
        <v>75000</v>
      </c>
      <c r="G9" s="341">
        <v>75000</v>
      </c>
      <c r="H9" s="341"/>
    </row>
    <row r="10" spans="1:8" ht="46.8" x14ac:dyDescent="0.3">
      <c r="A10" s="148"/>
      <c r="B10" s="360" t="s">
        <v>642</v>
      </c>
      <c r="C10" s="323" t="s">
        <v>821</v>
      </c>
      <c r="D10" s="361">
        <v>4</v>
      </c>
      <c r="E10" s="341">
        <v>16750</v>
      </c>
      <c r="F10" s="341">
        <f t="shared" si="1"/>
        <v>67000</v>
      </c>
      <c r="G10" s="341">
        <v>67000</v>
      </c>
      <c r="H10" s="341"/>
    </row>
    <row r="11" spans="1:8" ht="46.8" x14ac:dyDescent="0.3">
      <c r="A11" s="148"/>
      <c r="B11" s="360" t="s">
        <v>648</v>
      </c>
      <c r="C11" s="323" t="s">
        <v>822</v>
      </c>
      <c r="D11" s="361">
        <v>3</v>
      </c>
      <c r="E11" s="341">
        <v>1500</v>
      </c>
      <c r="F11" s="341">
        <f t="shared" si="1"/>
        <v>4500</v>
      </c>
      <c r="G11" s="341">
        <v>4500</v>
      </c>
      <c r="H11" s="341"/>
    </row>
    <row r="12" spans="1:8" x14ac:dyDescent="0.3">
      <c r="A12" s="148"/>
      <c r="B12" s="360"/>
      <c r="C12" s="323"/>
      <c r="D12" s="361"/>
      <c r="E12" s="341"/>
      <c r="F12" s="341">
        <f t="shared" si="1"/>
        <v>0</v>
      </c>
      <c r="G12" s="341"/>
      <c r="H12" s="341"/>
    </row>
    <row r="13" spans="1:8" ht="48.6" x14ac:dyDescent="0.35">
      <c r="A13" s="152">
        <v>2</v>
      </c>
      <c r="B13" s="146" t="s">
        <v>675</v>
      </c>
      <c r="C13" s="369" t="s">
        <v>24</v>
      </c>
      <c r="D13" s="152" t="s">
        <v>24</v>
      </c>
      <c r="E13" s="337" t="s">
        <v>24</v>
      </c>
      <c r="F13" s="335">
        <f>SUM(F14:F15)</f>
        <v>0</v>
      </c>
      <c r="G13" s="335">
        <f>SUM(G14:G15)</f>
        <v>0</v>
      </c>
      <c r="H13" s="335">
        <f>SUM(H14:H15)</f>
        <v>0</v>
      </c>
    </row>
    <row r="14" spans="1:8" s="370" customFormat="1" ht="16.2" x14ac:dyDescent="0.35">
      <c r="A14" s="148"/>
      <c r="B14" s="360"/>
      <c r="C14" s="323"/>
      <c r="D14" s="361"/>
      <c r="E14" s="341"/>
      <c r="F14" s="341">
        <f t="shared" ref="F14:F15" si="2">D14*E14</f>
        <v>0</v>
      </c>
      <c r="G14" s="341"/>
      <c r="H14" s="341"/>
    </row>
    <row r="15" spans="1:8" x14ac:dyDescent="0.3">
      <c r="A15" s="148"/>
      <c r="B15" s="360"/>
      <c r="C15" s="323"/>
      <c r="D15" s="361"/>
      <c r="E15" s="341"/>
      <c r="F15" s="341">
        <f t="shared" si="2"/>
        <v>0</v>
      </c>
      <c r="G15" s="341"/>
      <c r="H15" s="341"/>
    </row>
    <row r="16" spans="1:8" ht="64.8" x14ac:dyDescent="0.35">
      <c r="A16" s="152">
        <v>3</v>
      </c>
      <c r="B16" s="146" t="s">
        <v>676</v>
      </c>
      <c r="C16" s="369" t="s">
        <v>24</v>
      </c>
      <c r="D16" s="152" t="s">
        <v>24</v>
      </c>
      <c r="E16" s="337" t="s">
        <v>24</v>
      </c>
      <c r="F16" s="335">
        <f>SUM(F17:F18)</f>
        <v>0</v>
      </c>
      <c r="G16" s="335">
        <f t="shared" ref="G16:H16" si="3">SUM(G17:G18)</f>
        <v>0</v>
      </c>
      <c r="H16" s="335">
        <f t="shared" si="3"/>
        <v>0</v>
      </c>
    </row>
    <row r="17" spans="1:8" s="370" customFormat="1" ht="16.2" x14ac:dyDescent="0.35">
      <c r="A17" s="318"/>
      <c r="B17" s="360"/>
      <c r="C17" s="371"/>
      <c r="D17" s="355"/>
      <c r="E17" s="355"/>
      <c r="F17" s="341">
        <f>D17*E17</f>
        <v>0</v>
      </c>
      <c r="G17" s="372"/>
      <c r="H17" s="372"/>
    </row>
    <row r="18" spans="1:8" x14ac:dyDescent="0.3">
      <c r="A18" s="318"/>
      <c r="B18" s="360"/>
      <c r="C18" s="371"/>
      <c r="D18" s="355"/>
      <c r="E18" s="355"/>
      <c r="F18" s="341">
        <f>D18*E18</f>
        <v>0</v>
      </c>
      <c r="G18" s="372"/>
      <c r="H18" s="372"/>
    </row>
    <row r="19" spans="1:8" x14ac:dyDescent="0.3">
      <c r="A19" s="367"/>
      <c r="B19" s="373" t="s">
        <v>385</v>
      </c>
      <c r="C19" s="374"/>
      <c r="D19" s="375"/>
      <c r="E19" s="375"/>
      <c r="F19" s="336">
        <f>F8+F13+F16</f>
        <v>146500</v>
      </c>
      <c r="G19" s="336">
        <f>G8+G13+G16</f>
        <v>146500</v>
      </c>
      <c r="H19" s="336">
        <f>H8+H13+H16</f>
        <v>0</v>
      </c>
    </row>
    <row r="20" spans="1:8" s="365" customFormat="1" x14ac:dyDescent="0.3">
      <c r="A20" s="686" t="s">
        <v>607</v>
      </c>
      <c r="B20" s="686"/>
      <c r="C20" s="686"/>
      <c r="D20" s="686"/>
      <c r="E20" s="686"/>
      <c r="F20" s="686"/>
      <c r="G20" s="686"/>
      <c r="H20" s="686"/>
    </row>
    <row r="21" spans="1:8" ht="16.2" x14ac:dyDescent="0.35">
      <c r="A21" s="152">
        <v>1</v>
      </c>
      <c r="B21" s="146" t="s">
        <v>608</v>
      </c>
      <c r="C21" s="369" t="s">
        <v>24</v>
      </c>
      <c r="D21" s="152" t="s">
        <v>24</v>
      </c>
      <c r="E21" s="337" t="s">
        <v>24</v>
      </c>
      <c r="F21" s="335">
        <f>SUM(F22:F24)</f>
        <v>327688</v>
      </c>
      <c r="G21" s="335">
        <f t="shared" ref="G21:H21" si="4">SUM(G22:G24)</f>
        <v>297448</v>
      </c>
      <c r="H21" s="335">
        <f t="shared" si="4"/>
        <v>30240</v>
      </c>
    </row>
    <row r="22" spans="1:8" s="370" customFormat="1" ht="31.8" x14ac:dyDescent="0.35">
      <c r="A22" s="148"/>
      <c r="B22" s="360" t="s">
        <v>643</v>
      </c>
      <c r="C22" s="323" t="s">
        <v>823</v>
      </c>
      <c r="D22" s="361">
        <v>12</v>
      </c>
      <c r="E22" s="341">
        <v>6474</v>
      </c>
      <c r="F22" s="341">
        <f t="shared" ref="F22:F24" si="5">D22*E22</f>
        <v>77688</v>
      </c>
      <c r="G22" s="341">
        <v>47448</v>
      </c>
      <c r="H22" s="341">
        <v>30240</v>
      </c>
    </row>
    <row r="23" spans="1:8" ht="31.2" x14ac:dyDescent="0.3">
      <c r="A23" s="148"/>
      <c r="B23" s="360" t="s">
        <v>677</v>
      </c>
      <c r="C23" s="323" t="s">
        <v>824</v>
      </c>
      <c r="D23" s="361">
        <v>1</v>
      </c>
      <c r="E23" s="341">
        <v>250000</v>
      </c>
      <c r="F23" s="341">
        <f t="shared" si="5"/>
        <v>250000</v>
      </c>
      <c r="G23" s="341">
        <v>250000</v>
      </c>
      <c r="H23" s="341"/>
    </row>
    <row r="24" spans="1:8" x14ac:dyDescent="0.3">
      <c r="A24" s="148"/>
      <c r="B24" s="360"/>
      <c r="C24" s="323"/>
      <c r="D24" s="361"/>
      <c r="E24" s="341"/>
      <c r="F24" s="341">
        <f t="shared" si="5"/>
        <v>0</v>
      </c>
      <c r="G24" s="341"/>
      <c r="H24" s="341"/>
    </row>
    <row r="25" spans="1:8" ht="16.2" x14ac:dyDescent="0.35">
      <c r="A25" s="152">
        <v>2</v>
      </c>
      <c r="B25" s="146" t="s">
        <v>610</v>
      </c>
      <c r="C25" s="369" t="s">
        <v>24</v>
      </c>
      <c r="D25" s="152" t="s">
        <v>24</v>
      </c>
      <c r="E25" s="337" t="s">
        <v>24</v>
      </c>
      <c r="F25" s="335">
        <f>SUM(F26:F27)</f>
        <v>0</v>
      </c>
      <c r="G25" s="335">
        <f>SUM(G26:G27)</f>
        <v>0</v>
      </c>
      <c r="H25" s="335">
        <f>SUM(H26:H27)</f>
        <v>0</v>
      </c>
    </row>
    <row r="26" spans="1:8" s="370" customFormat="1" ht="16.2" x14ac:dyDescent="0.35">
      <c r="A26" s="148"/>
      <c r="B26" s="360"/>
      <c r="C26" s="323"/>
      <c r="D26" s="361"/>
      <c r="E26" s="341"/>
      <c r="F26" s="341">
        <f t="shared" ref="F26:F27" si="6">D26*E26</f>
        <v>0</v>
      </c>
      <c r="G26" s="341"/>
      <c r="H26" s="341"/>
    </row>
    <row r="27" spans="1:8" x14ac:dyDescent="0.3">
      <c r="A27" s="148"/>
      <c r="B27" s="360"/>
      <c r="C27" s="323"/>
      <c r="D27" s="361"/>
      <c r="E27" s="341"/>
      <c r="F27" s="341">
        <f t="shared" si="6"/>
        <v>0</v>
      </c>
      <c r="G27" s="341"/>
      <c r="H27" s="341"/>
    </row>
    <row r="28" spans="1:8" ht="32.4" x14ac:dyDescent="0.35">
      <c r="A28" s="152">
        <v>3</v>
      </c>
      <c r="B28" s="146" t="s">
        <v>615</v>
      </c>
      <c r="C28" s="369" t="s">
        <v>24</v>
      </c>
      <c r="D28" s="152" t="s">
        <v>24</v>
      </c>
      <c r="E28" s="337" t="s">
        <v>24</v>
      </c>
      <c r="F28" s="335">
        <f>SUM(F29:F30)</f>
        <v>43500</v>
      </c>
      <c r="G28" s="335">
        <f t="shared" ref="G28:H28" si="7">SUM(G29:G30)</f>
        <v>43500</v>
      </c>
      <c r="H28" s="335">
        <f t="shared" si="7"/>
        <v>0</v>
      </c>
    </row>
    <row r="29" spans="1:8" s="370" customFormat="1" ht="31.8" x14ac:dyDescent="0.35">
      <c r="A29" s="148"/>
      <c r="B29" s="360" t="s">
        <v>653</v>
      </c>
      <c r="C29" s="323" t="s">
        <v>823</v>
      </c>
      <c r="D29" s="361">
        <v>3</v>
      </c>
      <c r="E29" s="341">
        <v>14500</v>
      </c>
      <c r="F29" s="341">
        <f t="shared" ref="F29:F30" si="8">D29*E29</f>
        <v>43500</v>
      </c>
      <c r="G29" s="341">
        <v>43500</v>
      </c>
      <c r="H29" s="341"/>
    </row>
    <row r="30" spans="1:8" x14ac:dyDescent="0.3">
      <c r="A30" s="148"/>
      <c r="B30" s="360"/>
      <c r="C30" s="323"/>
      <c r="D30" s="361"/>
      <c r="E30" s="341"/>
      <c r="F30" s="341">
        <f t="shared" si="8"/>
        <v>0</v>
      </c>
      <c r="G30" s="341"/>
      <c r="H30" s="341"/>
    </row>
    <row r="31" spans="1:8" ht="16.2" x14ac:dyDescent="0.35">
      <c r="A31" s="152">
        <v>4</v>
      </c>
      <c r="B31" s="146" t="s">
        <v>667</v>
      </c>
      <c r="C31" s="369" t="s">
        <v>24</v>
      </c>
      <c r="D31" s="152" t="s">
        <v>24</v>
      </c>
      <c r="E31" s="337" t="s">
        <v>24</v>
      </c>
      <c r="F31" s="335">
        <f>SUM(F32:F33)</f>
        <v>0</v>
      </c>
      <c r="G31" s="335">
        <f>SUM(G32:G33)</f>
        <v>0</v>
      </c>
      <c r="H31" s="335">
        <f>SUM(H32:H33)</f>
        <v>0</v>
      </c>
    </row>
    <row r="32" spans="1:8" s="370" customFormat="1" ht="16.2" x14ac:dyDescent="0.35">
      <c r="A32" s="148"/>
      <c r="B32" s="360"/>
      <c r="C32" s="323"/>
      <c r="D32" s="361"/>
      <c r="E32" s="341"/>
      <c r="F32" s="341">
        <f t="shared" ref="F32:F33" si="9">D32*E32</f>
        <v>0</v>
      </c>
      <c r="G32" s="341"/>
      <c r="H32" s="341"/>
    </row>
    <row r="33" spans="1:8" x14ac:dyDescent="0.3">
      <c r="A33" s="148"/>
      <c r="B33" s="360"/>
      <c r="C33" s="323"/>
      <c r="D33" s="361"/>
      <c r="E33" s="341"/>
      <c r="F33" s="341">
        <f t="shared" si="9"/>
        <v>0</v>
      </c>
      <c r="G33" s="341"/>
      <c r="H33" s="341"/>
    </row>
    <row r="34" spans="1:8" ht="16.2" x14ac:dyDescent="0.35">
      <c r="A34" s="152">
        <v>5</v>
      </c>
      <c r="B34" s="146" t="s">
        <v>630</v>
      </c>
      <c r="C34" s="369" t="s">
        <v>24</v>
      </c>
      <c r="D34" s="152" t="s">
        <v>24</v>
      </c>
      <c r="E34" s="337" t="s">
        <v>24</v>
      </c>
      <c r="F34" s="335">
        <f>SUM(F35:F36)</f>
        <v>0</v>
      </c>
      <c r="G34" s="335">
        <f>SUM(G35:G36)</f>
        <v>0</v>
      </c>
      <c r="H34" s="335">
        <f>SUM(H35:H36)</f>
        <v>0</v>
      </c>
    </row>
    <row r="35" spans="1:8" s="370" customFormat="1" ht="16.2" x14ac:dyDescent="0.35">
      <c r="A35" s="148"/>
      <c r="B35" s="360"/>
      <c r="C35" s="323"/>
      <c r="D35" s="361"/>
      <c r="E35" s="341"/>
      <c r="F35" s="341">
        <f t="shared" ref="F35:F36" si="10">D35*E35</f>
        <v>0</v>
      </c>
      <c r="G35" s="341"/>
      <c r="H35" s="341"/>
    </row>
    <row r="36" spans="1:8" x14ac:dyDescent="0.3">
      <c r="A36" s="148"/>
      <c r="B36" s="360"/>
      <c r="C36" s="323"/>
      <c r="D36" s="361"/>
      <c r="E36" s="341"/>
      <c r="F36" s="341">
        <f t="shared" si="10"/>
        <v>0</v>
      </c>
      <c r="G36" s="341"/>
      <c r="H36" s="341"/>
    </row>
    <row r="37" spans="1:8" ht="16.2" x14ac:dyDescent="0.35">
      <c r="A37" s="152">
        <v>6</v>
      </c>
      <c r="B37" s="146" t="s">
        <v>631</v>
      </c>
      <c r="C37" s="369" t="s">
        <v>24</v>
      </c>
      <c r="D37" s="152" t="s">
        <v>24</v>
      </c>
      <c r="E37" s="337" t="s">
        <v>24</v>
      </c>
      <c r="F37" s="335">
        <f>SUM(F38:F40)</f>
        <v>0</v>
      </c>
      <c r="G37" s="335">
        <f>SUM(G38:G40)</f>
        <v>0</v>
      </c>
      <c r="H37" s="335">
        <f>SUM(H38:H40)</f>
        <v>0</v>
      </c>
    </row>
    <row r="38" spans="1:8" s="370" customFormat="1" ht="16.2" x14ac:dyDescent="0.35">
      <c r="A38" s="152"/>
      <c r="B38" s="360" t="s">
        <v>669</v>
      </c>
      <c r="C38" s="369"/>
      <c r="D38" s="152"/>
      <c r="E38" s="337"/>
      <c r="F38" s="341">
        <f t="shared" ref="F38:F40" si="11">D38*E38</f>
        <v>0</v>
      </c>
      <c r="G38" s="341"/>
      <c r="H38" s="341"/>
    </row>
    <row r="39" spans="1:8" s="370" customFormat="1" ht="31.8" x14ac:dyDescent="0.35">
      <c r="A39" s="148"/>
      <c r="B39" s="360" t="s">
        <v>668</v>
      </c>
      <c r="C39" s="323"/>
      <c r="D39" s="361"/>
      <c r="E39" s="341"/>
      <c r="F39" s="341">
        <f>D39*E39</f>
        <v>0</v>
      </c>
      <c r="G39" s="341"/>
      <c r="H39" s="341"/>
    </row>
    <row r="40" spans="1:8" x14ac:dyDescent="0.3">
      <c r="A40" s="148"/>
      <c r="B40" s="360"/>
      <c r="C40" s="323"/>
      <c r="D40" s="361"/>
      <c r="E40" s="341"/>
      <c r="F40" s="341">
        <f t="shared" si="11"/>
        <v>0</v>
      </c>
      <c r="G40" s="341"/>
      <c r="H40" s="341"/>
    </row>
    <row r="41" spans="1:8" x14ac:dyDescent="0.3">
      <c r="A41" s="151"/>
      <c r="B41" s="373" t="s">
        <v>385</v>
      </c>
      <c r="C41" s="376" t="s">
        <v>24</v>
      </c>
      <c r="D41" s="338" t="s">
        <v>24</v>
      </c>
      <c r="E41" s="338" t="s">
        <v>24</v>
      </c>
      <c r="F41" s="336">
        <f>F21+F25+F28+F31+F34+F37</f>
        <v>371188</v>
      </c>
      <c r="G41" s="336">
        <f t="shared" ref="G41:H41" si="12">G21+G25+G28+G31+G34+G37</f>
        <v>340948</v>
      </c>
      <c r="H41" s="336">
        <f t="shared" si="12"/>
        <v>30240</v>
      </c>
    </row>
    <row r="42" spans="1:8" s="377" customFormat="1" x14ac:dyDescent="0.3">
      <c r="A42" s="686" t="s">
        <v>695</v>
      </c>
      <c r="B42" s="686"/>
      <c r="C42" s="686"/>
      <c r="D42" s="686"/>
      <c r="E42" s="686"/>
      <c r="F42" s="686"/>
      <c r="G42" s="686"/>
      <c r="H42" s="686"/>
    </row>
    <row r="43" spans="1:8" ht="16.2" x14ac:dyDescent="0.35">
      <c r="A43" s="152">
        <v>1</v>
      </c>
      <c r="B43" s="146" t="s">
        <v>633</v>
      </c>
      <c r="C43" s="369" t="s">
        <v>24</v>
      </c>
      <c r="D43" s="152" t="s">
        <v>24</v>
      </c>
      <c r="E43" s="337" t="s">
        <v>24</v>
      </c>
      <c r="F43" s="335">
        <f>SUM(F44:F46)</f>
        <v>465720</v>
      </c>
      <c r="G43" s="335">
        <f t="shared" ref="G43:H43" si="13">SUM(G44:G46)</f>
        <v>465720</v>
      </c>
      <c r="H43" s="335">
        <f t="shared" si="13"/>
        <v>0</v>
      </c>
    </row>
    <row r="44" spans="1:8" s="370" customFormat="1" ht="31.8" x14ac:dyDescent="0.35">
      <c r="A44" s="148"/>
      <c r="B44" s="360" t="s">
        <v>647</v>
      </c>
      <c r="C44" s="323" t="s">
        <v>825</v>
      </c>
      <c r="D44" s="361">
        <v>20</v>
      </c>
      <c r="E44" s="341">
        <v>11386</v>
      </c>
      <c r="F44" s="341">
        <f t="shared" ref="F44:F46" si="14">D44*E44</f>
        <v>227720</v>
      </c>
      <c r="G44" s="341">
        <v>227720</v>
      </c>
      <c r="H44" s="341"/>
    </row>
    <row r="45" spans="1:8" x14ac:dyDescent="0.3">
      <c r="A45" s="148"/>
      <c r="B45" s="360" t="s">
        <v>636</v>
      </c>
      <c r="C45" s="323" t="s">
        <v>825</v>
      </c>
      <c r="D45" s="361">
        <v>68</v>
      </c>
      <c r="E45" s="341">
        <v>3500</v>
      </c>
      <c r="F45" s="341">
        <f t="shared" si="14"/>
        <v>238000</v>
      </c>
      <c r="G45" s="341">
        <v>238000</v>
      </c>
      <c r="H45" s="341"/>
    </row>
    <row r="46" spans="1:8" x14ac:dyDescent="0.3">
      <c r="A46" s="148"/>
      <c r="B46" s="360" t="s">
        <v>609</v>
      </c>
      <c r="C46" s="323"/>
      <c r="D46" s="361"/>
      <c r="E46" s="341"/>
      <c r="F46" s="341">
        <f t="shared" si="14"/>
        <v>0</v>
      </c>
      <c r="G46" s="341"/>
      <c r="H46" s="341"/>
    </row>
    <row r="47" spans="1:8" ht="32.4" x14ac:dyDescent="0.35">
      <c r="A47" s="152">
        <v>2</v>
      </c>
      <c r="B47" s="146" t="s">
        <v>645</v>
      </c>
      <c r="C47" s="369" t="s">
        <v>24</v>
      </c>
      <c r="D47" s="152" t="s">
        <v>24</v>
      </c>
      <c r="E47" s="337" t="s">
        <v>24</v>
      </c>
      <c r="F47" s="335">
        <f>SUM(F48:F50)</f>
        <v>0</v>
      </c>
      <c r="G47" s="335">
        <f t="shared" ref="G47:H47" si="15">SUM(G48:G50)</f>
        <v>0</v>
      </c>
      <c r="H47" s="335">
        <f t="shared" si="15"/>
        <v>0</v>
      </c>
    </row>
    <row r="48" spans="1:8" s="370" customFormat="1" ht="16.2" x14ac:dyDescent="0.35">
      <c r="A48" s="148"/>
      <c r="B48" s="360"/>
      <c r="C48" s="323"/>
      <c r="D48" s="361"/>
      <c r="E48" s="341"/>
      <c r="F48" s="341">
        <f t="shared" ref="F48:F50" si="16">D48*E48</f>
        <v>0</v>
      </c>
      <c r="G48" s="341"/>
      <c r="H48" s="341"/>
    </row>
    <row r="49" spans="1:8" x14ac:dyDescent="0.3">
      <c r="A49" s="148"/>
      <c r="B49" s="360"/>
      <c r="C49" s="323"/>
      <c r="D49" s="361"/>
      <c r="E49" s="341"/>
      <c r="F49" s="341">
        <f t="shared" si="16"/>
        <v>0</v>
      </c>
      <c r="G49" s="341"/>
      <c r="H49" s="341"/>
    </row>
    <row r="50" spans="1:8" x14ac:dyDescent="0.3">
      <c r="A50" s="148"/>
      <c r="B50" s="360" t="s">
        <v>609</v>
      </c>
      <c r="C50" s="323"/>
      <c r="D50" s="361"/>
      <c r="E50" s="341"/>
      <c r="F50" s="341">
        <f t="shared" si="16"/>
        <v>0</v>
      </c>
      <c r="G50" s="341"/>
      <c r="H50" s="341"/>
    </row>
    <row r="51" spans="1:8" x14ac:dyDescent="0.3">
      <c r="A51" s="151"/>
      <c r="B51" s="373" t="s">
        <v>385</v>
      </c>
      <c r="C51" s="376" t="s">
        <v>24</v>
      </c>
      <c r="D51" s="338" t="s">
        <v>24</v>
      </c>
      <c r="E51" s="338" t="s">
        <v>24</v>
      </c>
      <c r="F51" s="336">
        <f>F43+F47</f>
        <v>465720</v>
      </c>
      <c r="G51" s="336">
        <f t="shared" ref="G51:H51" si="17">G43+G47</f>
        <v>465720</v>
      </c>
      <c r="H51" s="336">
        <f t="shared" si="17"/>
        <v>0</v>
      </c>
    </row>
    <row r="52" spans="1:8" s="377" customFormat="1" x14ac:dyDescent="0.3">
      <c r="A52" s="686" t="s">
        <v>634</v>
      </c>
      <c r="B52" s="686"/>
      <c r="C52" s="686"/>
      <c r="D52" s="686"/>
      <c r="E52" s="686"/>
      <c r="F52" s="686"/>
      <c r="G52" s="686"/>
      <c r="H52" s="686"/>
    </row>
    <row r="53" spans="1:8" ht="16.2" x14ac:dyDescent="0.35">
      <c r="A53" s="152">
        <v>1</v>
      </c>
      <c r="B53" s="146" t="s">
        <v>640</v>
      </c>
      <c r="C53" s="369" t="s">
        <v>24</v>
      </c>
      <c r="D53" s="152" t="s">
        <v>24</v>
      </c>
      <c r="E53" s="337" t="s">
        <v>24</v>
      </c>
      <c r="F53" s="335">
        <f>SUM(F54:F59)</f>
        <v>850360</v>
      </c>
      <c r="G53" s="335">
        <f t="shared" ref="G53:H53" si="18">SUM(G54:G59)</f>
        <v>799660</v>
      </c>
      <c r="H53" s="335">
        <f t="shared" si="18"/>
        <v>50700</v>
      </c>
    </row>
    <row r="54" spans="1:8" s="370" customFormat="1" ht="31.8" x14ac:dyDescent="0.35">
      <c r="A54" s="148"/>
      <c r="B54" s="360" t="s">
        <v>826</v>
      </c>
      <c r="C54" s="323" t="s">
        <v>827</v>
      </c>
      <c r="D54" s="361">
        <v>167</v>
      </c>
      <c r="E54" s="341">
        <v>2100</v>
      </c>
      <c r="F54" s="341">
        <f>D54*E54</f>
        <v>350700</v>
      </c>
      <c r="G54" s="341">
        <v>320000</v>
      </c>
      <c r="H54" s="341">
        <v>30700</v>
      </c>
    </row>
    <row r="55" spans="1:8" x14ac:dyDescent="0.3">
      <c r="A55" s="148"/>
      <c r="B55" s="360" t="s">
        <v>828</v>
      </c>
      <c r="C55" s="323" t="s">
        <v>827</v>
      </c>
      <c r="D55" s="361">
        <v>70</v>
      </c>
      <c r="E55" s="341">
        <v>680</v>
      </c>
      <c r="F55" s="341">
        <f t="shared" ref="F55:F59" si="19">D55*E55</f>
        <v>47600</v>
      </c>
      <c r="G55" s="341">
        <v>47600</v>
      </c>
      <c r="H55" s="341"/>
    </row>
    <row r="56" spans="1:8" ht="31.2" x14ac:dyDescent="0.3">
      <c r="A56" s="148"/>
      <c r="B56" s="360" t="s">
        <v>829</v>
      </c>
      <c r="C56" s="323" t="s">
        <v>827</v>
      </c>
      <c r="D56" s="361">
        <v>58</v>
      </c>
      <c r="E56" s="341">
        <v>680</v>
      </c>
      <c r="F56" s="341">
        <f t="shared" si="19"/>
        <v>39440</v>
      </c>
      <c r="G56" s="341">
        <v>39440</v>
      </c>
      <c r="H56" s="341"/>
    </row>
    <row r="57" spans="1:8" x14ac:dyDescent="0.3">
      <c r="A57" s="148"/>
      <c r="B57" s="360" t="s">
        <v>830</v>
      </c>
      <c r="C57" s="323" t="s">
        <v>827</v>
      </c>
      <c r="D57" s="361">
        <v>58</v>
      </c>
      <c r="E57" s="341">
        <v>390</v>
      </c>
      <c r="F57" s="341">
        <f t="shared" si="19"/>
        <v>22620</v>
      </c>
      <c r="G57" s="341">
        <v>22620</v>
      </c>
      <c r="H57" s="341"/>
    </row>
    <row r="58" spans="1:8" ht="31.2" x14ac:dyDescent="0.3">
      <c r="A58" s="148"/>
      <c r="B58" s="360" t="s">
        <v>646</v>
      </c>
      <c r="C58" s="323" t="s">
        <v>831</v>
      </c>
      <c r="D58" s="361">
        <v>12</v>
      </c>
      <c r="E58" s="341">
        <v>17500</v>
      </c>
      <c r="F58" s="341">
        <f t="shared" si="19"/>
        <v>210000</v>
      </c>
      <c r="G58" s="341">
        <v>210000</v>
      </c>
      <c r="H58" s="341"/>
    </row>
    <row r="59" spans="1:8" ht="31.2" x14ac:dyDescent="0.3">
      <c r="A59" s="148"/>
      <c r="B59" s="360" t="s">
        <v>671</v>
      </c>
      <c r="C59" s="323"/>
      <c r="D59" s="361">
        <v>12</v>
      </c>
      <c r="E59" s="341">
        <v>15000</v>
      </c>
      <c r="F59" s="341">
        <f t="shared" si="19"/>
        <v>180000</v>
      </c>
      <c r="G59" s="341">
        <v>160000</v>
      </c>
      <c r="H59" s="341">
        <v>20000</v>
      </c>
    </row>
    <row r="60" spans="1:8" ht="32.4" x14ac:dyDescent="0.35">
      <c r="A60" s="152">
        <v>2</v>
      </c>
      <c r="B60" s="146" t="s">
        <v>673</v>
      </c>
      <c r="C60" s="369" t="s">
        <v>24</v>
      </c>
      <c r="D60" s="152" t="s">
        <v>24</v>
      </c>
      <c r="E60" s="337" t="s">
        <v>24</v>
      </c>
      <c r="F60" s="335">
        <f>SUM(F61:F62)</f>
        <v>0</v>
      </c>
      <c r="G60" s="335">
        <f t="shared" ref="G60:H60" si="20">SUM(G61:G62)</f>
        <v>0</v>
      </c>
      <c r="H60" s="335">
        <f t="shared" si="20"/>
        <v>0</v>
      </c>
    </row>
    <row r="61" spans="1:8" s="370" customFormat="1" ht="16.2" x14ac:dyDescent="0.35">
      <c r="A61" s="148"/>
      <c r="B61" s="360"/>
      <c r="C61" s="323"/>
      <c r="D61" s="361"/>
      <c r="E61" s="341"/>
      <c r="F61" s="341">
        <f t="shared" ref="F61:F62" si="21">D61*E61</f>
        <v>0</v>
      </c>
      <c r="G61" s="341"/>
      <c r="H61" s="341"/>
    </row>
    <row r="62" spans="1:8" x14ac:dyDescent="0.3">
      <c r="A62" s="148"/>
      <c r="B62" s="360"/>
      <c r="C62" s="323"/>
      <c r="D62" s="361"/>
      <c r="E62" s="341"/>
      <c r="F62" s="341">
        <f t="shared" si="21"/>
        <v>0</v>
      </c>
      <c r="G62" s="341"/>
      <c r="H62" s="341"/>
    </row>
    <row r="63" spans="1:8" ht="32.4" x14ac:dyDescent="0.35">
      <c r="A63" s="152">
        <v>3</v>
      </c>
      <c r="B63" s="146" t="s">
        <v>637</v>
      </c>
      <c r="C63" s="369" t="s">
        <v>24</v>
      </c>
      <c r="D63" s="152" t="s">
        <v>24</v>
      </c>
      <c r="E63" s="337" t="s">
        <v>24</v>
      </c>
      <c r="F63" s="335">
        <f>SUM(F64:F77)</f>
        <v>640040</v>
      </c>
      <c r="G63" s="335">
        <f t="shared" ref="G63:H63" si="22">SUM(G64:G77)</f>
        <v>310980</v>
      </c>
      <c r="H63" s="335">
        <f t="shared" si="22"/>
        <v>319060</v>
      </c>
    </row>
    <row r="64" spans="1:8" s="370" customFormat="1" ht="31.8" x14ac:dyDescent="0.35">
      <c r="A64" s="148"/>
      <c r="B64" s="360" t="s">
        <v>672</v>
      </c>
      <c r="C64" s="323" t="s">
        <v>832</v>
      </c>
      <c r="D64" s="361">
        <v>200</v>
      </c>
      <c r="E64" s="341">
        <v>200</v>
      </c>
      <c r="F64" s="341">
        <f t="shared" ref="F64:F77" si="23">D64*E64</f>
        <v>40000</v>
      </c>
      <c r="G64" s="341">
        <v>30000</v>
      </c>
      <c r="H64" s="341"/>
    </row>
    <row r="65" spans="1:8" ht="31.2" x14ac:dyDescent="0.3">
      <c r="A65" s="148"/>
      <c r="B65" s="360" t="s">
        <v>902</v>
      </c>
      <c r="C65" s="323" t="s">
        <v>833</v>
      </c>
      <c r="D65" s="361">
        <v>65</v>
      </c>
      <c r="E65" s="341">
        <f>F65/D65</f>
        <v>536.30999999999995</v>
      </c>
      <c r="F65" s="341">
        <v>34860</v>
      </c>
      <c r="G65" s="341">
        <v>34860</v>
      </c>
      <c r="H65" s="341"/>
    </row>
    <row r="66" spans="1:8" x14ac:dyDescent="0.3">
      <c r="A66" s="148"/>
      <c r="B66" s="360" t="s">
        <v>834</v>
      </c>
      <c r="C66" s="323"/>
      <c r="D66" s="361">
        <v>1</v>
      </c>
      <c r="E66" s="341">
        <v>66000</v>
      </c>
      <c r="F66" s="341">
        <f t="shared" si="23"/>
        <v>66000</v>
      </c>
      <c r="G66" s="341">
        <v>66000</v>
      </c>
      <c r="H66" s="341"/>
    </row>
    <row r="67" spans="1:8" ht="31.2" x14ac:dyDescent="0.3">
      <c r="A67" s="148"/>
      <c r="B67" s="360" t="s">
        <v>649</v>
      </c>
      <c r="C67" s="323"/>
      <c r="D67" s="361"/>
      <c r="E67" s="341"/>
      <c r="F67" s="341">
        <f t="shared" si="23"/>
        <v>0</v>
      </c>
      <c r="G67" s="341"/>
      <c r="H67" s="341"/>
    </row>
    <row r="68" spans="1:8" ht="31.2" x14ac:dyDescent="0.3">
      <c r="A68" s="148"/>
      <c r="B68" s="360" t="s">
        <v>650</v>
      </c>
      <c r="C68" s="323"/>
      <c r="D68" s="361">
        <v>12</v>
      </c>
      <c r="E68" s="341">
        <v>12000</v>
      </c>
      <c r="F68" s="341">
        <f t="shared" si="23"/>
        <v>144000</v>
      </c>
      <c r="G68" s="341">
        <v>40000</v>
      </c>
      <c r="H68" s="341">
        <v>104000</v>
      </c>
    </row>
    <row r="69" spans="1:8" ht="31.2" x14ac:dyDescent="0.3">
      <c r="A69" s="148"/>
      <c r="B69" s="360" t="s">
        <v>651</v>
      </c>
      <c r="C69" s="323"/>
      <c r="D69" s="361">
        <v>2</v>
      </c>
      <c r="E69" s="341">
        <v>10000</v>
      </c>
      <c r="F69" s="341">
        <f t="shared" si="23"/>
        <v>20000</v>
      </c>
      <c r="G69" s="341"/>
      <c r="H69" s="341">
        <v>20000</v>
      </c>
    </row>
    <row r="70" spans="1:8" ht="31.2" x14ac:dyDescent="0.3">
      <c r="A70" s="148"/>
      <c r="B70" s="360" t="s">
        <v>670</v>
      </c>
      <c r="C70" s="323" t="s">
        <v>835</v>
      </c>
      <c r="D70" s="361">
        <v>12</v>
      </c>
      <c r="E70" s="341">
        <v>15100</v>
      </c>
      <c r="F70" s="341">
        <f t="shared" si="23"/>
        <v>181200</v>
      </c>
      <c r="G70" s="341">
        <v>119140</v>
      </c>
      <c r="H70" s="341">
        <v>62060</v>
      </c>
    </row>
    <row r="71" spans="1:8" ht="46.8" x14ac:dyDescent="0.3">
      <c r="A71" s="148"/>
      <c r="B71" s="360" t="s">
        <v>652</v>
      </c>
      <c r="C71" s="323"/>
      <c r="D71" s="361">
        <v>1</v>
      </c>
      <c r="E71" s="341">
        <v>7960</v>
      </c>
      <c r="F71" s="341">
        <f t="shared" si="23"/>
        <v>7960</v>
      </c>
      <c r="G71" s="341">
        <v>7960</v>
      </c>
      <c r="H71" s="341"/>
    </row>
    <row r="72" spans="1:8" ht="31.2" x14ac:dyDescent="0.3">
      <c r="A72" s="148"/>
      <c r="B72" s="360" t="s">
        <v>654</v>
      </c>
      <c r="C72" s="323"/>
      <c r="D72" s="361">
        <v>1</v>
      </c>
      <c r="E72" s="341">
        <v>3000</v>
      </c>
      <c r="F72" s="341">
        <f t="shared" si="23"/>
        <v>3000</v>
      </c>
      <c r="G72" s="341"/>
      <c r="H72" s="341">
        <v>3000</v>
      </c>
    </row>
    <row r="73" spans="1:8" ht="31.2" x14ac:dyDescent="0.3">
      <c r="A73" s="148"/>
      <c r="B73" s="360" t="s">
        <v>655</v>
      </c>
      <c r="C73" s="323"/>
      <c r="D73" s="361">
        <v>24</v>
      </c>
      <c r="E73" s="341">
        <v>30</v>
      </c>
      <c r="F73" s="341">
        <f t="shared" si="23"/>
        <v>720</v>
      </c>
      <c r="G73" s="341">
        <v>720</v>
      </c>
      <c r="H73" s="341"/>
    </row>
    <row r="74" spans="1:8" ht="31.2" x14ac:dyDescent="0.3">
      <c r="A74" s="148"/>
      <c r="B74" s="360" t="s">
        <v>656</v>
      </c>
      <c r="C74" s="323"/>
      <c r="D74" s="361">
        <v>10</v>
      </c>
      <c r="E74" s="341">
        <v>600</v>
      </c>
      <c r="F74" s="341">
        <f t="shared" si="23"/>
        <v>6000</v>
      </c>
      <c r="G74" s="341">
        <v>6000</v>
      </c>
      <c r="H74" s="341"/>
    </row>
    <row r="75" spans="1:8" ht="124.8" x14ac:dyDescent="0.3">
      <c r="A75" s="148"/>
      <c r="B75" s="360" t="s">
        <v>657</v>
      </c>
      <c r="C75" s="323" t="s">
        <v>836</v>
      </c>
      <c r="D75" s="361">
        <v>3</v>
      </c>
      <c r="E75" s="341">
        <v>2100</v>
      </c>
      <c r="F75" s="341">
        <f t="shared" si="23"/>
        <v>6300</v>
      </c>
      <c r="G75" s="341">
        <v>6300</v>
      </c>
      <c r="H75" s="341"/>
    </row>
    <row r="76" spans="1:8" ht="46.8" x14ac:dyDescent="0.3">
      <c r="A76" s="148"/>
      <c r="B76" s="360" t="s">
        <v>742</v>
      </c>
      <c r="C76" s="323"/>
      <c r="D76" s="361"/>
      <c r="E76" s="341"/>
      <c r="F76" s="341">
        <f t="shared" si="23"/>
        <v>0</v>
      </c>
      <c r="G76" s="341"/>
      <c r="H76" s="341"/>
    </row>
    <row r="77" spans="1:8" x14ac:dyDescent="0.3">
      <c r="A77" s="148"/>
      <c r="B77" s="360" t="s">
        <v>837</v>
      </c>
      <c r="C77" s="323"/>
      <c r="D77" s="361">
        <v>260</v>
      </c>
      <c r="E77" s="341">
        <v>500</v>
      </c>
      <c r="F77" s="341">
        <f t="shared" si="23"/>
        <v>130000</v>
      </c>
      <c r="G77" s="341"/>
      <c r="H77" s="341">
        <v>130000</v>
      </c>
    </row>
    <row r="78" spans="1:8" x14ac:dyDescent="0.3">
      <c r="A78" s="151"/>
      <c r="B78" s="373" t="s">
        <v>385</v>
      </c>
      <c r="C78" s="376" t="s">
        <v>24</v>
      </c>
      <c r="D78" s="338" t="s">
        <v>24</v>
      </c>
      <c r="E78" s="338" t="s">
        <v>24</v>
      </c>
      <c r="F78" s="336">
        <f>F53+F60+F63</f>
        <v>1490400</v>
      </c>
      <c r="G78" s="336">
        <f>G53+G60+G63</f>
        <v>1110640</v>
      </c>
      <c r="H78" s="336">
        <f>H53+H60+H63</f>
        <v>369760</v>
      </c>
    </row>
    <row r="79" spans="1:8" x14ac:dyDescent="0.3">
      <c r="A79" s="151"/>
      <c r="B79" s="373" t="s">
        <v>706</v>
      </c>
      <c r="C79" s="376" t="s">
        <v>24</v>
      </c>
      <c r="D79" s="338" t="s">
        <v>24</v>
      </c>
      <c r="E79" s="338" t="s">
        <v>24</v>
      </c>
      <c r="F79" s="336">
        <f>F19+F41+F51+F78</f>
        <v>2473808</v>
      </c>
      <c r="G79" s="336">
        <f>G19+G41+G51+G78</f>
        <v>2063808</v>
      </c>
      <c r="H79" s="336">
        <f>H19+H41+H51+H78</f>
        <v>400000</v>
      </c>
    </row>
  </sheetData>
  <mergeCells count="13">
    <mergeCell ref="A20:H20"/>
    <mergeCell ref="A42:H42"/>
    <mergeCell ref="A52:H52"/>
    <mergeCell ref="A7:H7"/>
    <mergeCell ref="A1:H1"/>
    <mergeCell ref="A2:H2"/>
    <mergeCell ref="A4:A5"/>
    <mergeCell ref="B4:B5"/>
    <mergeCell ref="C4:C5"/>
    <mergeCell ref="D4:D5"/>
    <mergeCell ref="E4:E5"/>
    <mergeCell ref="F4:F5"/>
    <mergeCell ref="G4:H4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64" fitToHeight="2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89"/>
  <sheetViews>
    <sheetView zoomScale="80" zoomScaleNormal="80" workbookViewId="0">
      <selection activeCell="F76" sqref="F76:H82"/>
    </sheetView>
  </sheetViews>
  <sheetFormatPr defaultColWidth="9.109375" defaultRowHeight="15.6" x14ac:dyDescent="0.3"/>
  <cols>
    <col min="1" max="1" width="4.6640625" style="1" customWidth="1"/>
    <col min="2" max="2" width="50.6640625" style="1" customWidth="1"/>
    <col min="3" max="3" width="9.109375" style="257" bestFit="1" customWidth="1"/>
    <col min="4" max="7" width="15.6640625" style="1" customWidth="1"/>
    <col min="8" max="8" width="15.6640625" style="57" customWidth="1"/>
    <col min="9" max="16384" width="9.109375" style="57"/>
  </cols>
  <sheetData>
    <row r="1" spans="1:8" x14ac:dyDescent="0.3">
      <c r="A1" s="641" t="s">
        <v>683</v>
      </c>
      <c r="B1" s="641"/>
      <c r="C1" s="641"/>
      <c r="D1" s="641"/>
      <c r="E1" s="641"/>
      <c r="F1" s="641"/>
      <c r="G1" s="641"/>
      <c r="H1" s="641"/>
    </row>
    <row r="2" spans="1:8" x14ac:dyDescent="0.3">
      <c r="A2" s="641" t="s">
        <v>685</v>
      </c>
      <c r="B2" s="641"/>
      <c r="C2" s="641"/>
      <c r="D2" s="641"/>
      <c r="E2" s="641"/>
      <c r="F2" s="641"/>
      <c r="G2" s="641"/>
      <c r="H2" s="641"/>
    </row>
    <row r="3" spans="1:8" x14ac:dyDescent="0.3">
      <c r="C3" s="309"/>
    </row>
    <row r="4" spans="1:8" s="58" customFormat="1" ht="31.5" customHeight="1" x14ac:dyDescent="0.3">
      <c r="A4" s="522" t="s">
        <v>1</v>
      </c>
      <c r="B4" s="522" t="s">
        <v>469</v>
      </c>
      <c r="C4" s="690" t="s">
        <v>184</v>
      </c>
      <c r="D4" s="522" t="s">
        <v>506</v>
      </c>
      <c r="E4" s="522" t="s">
        <v>512</v>
      </c>
      <c r="F4" s="522" t="s">
        <v>599</v>
      </c>
      <c r="G4" s="639" t="s">
        <v>396</v>
      </c>
      <c r="H4" s="639"/>
    </row>
    <row r="5" spans="1:8" s="58" customFormat="1" ht="78" x14ac:dyDescent="0.3">
      <c r="A5" s="522"/>
      <c r="B5" s="522"/>
      <c r="C5" s="691"/>
      <c r="D5" s="522"/>
      <c r="E5" s="522"/>
      <c r="F5" s="522"/>
      <c r="G5" s="311" t="s">
        <v>401</v>
      </c>
      <c r="H5" s="311" t="s">
        <v>402</v>
      </c>
    </row>
    <row r="6" spans="1:8" s="58" customFormat="1" x14ac:dyDescent="0.3">
      <c r="A6" s="308">
        <v>1</v>
      </c>
      <c r="B6" s="308">
        <v>2</v>
      </c>
      <c r="C6" s="312">
        <v>3</v>
      </c>
      <c r="D6" s="308">
        <v>4</v>
      </c>
      <c r="E6" s="308">
        <v>5</v>
      </c>
      <c r="F6" s="308" t="s">
        <v>684</v>
      </c>
      <c r="G6" s="308">
        <v>7</v>
      </c>
      <c r="H6" s="308">
        <v>8</v>
      </c>
    </row>
    <row r="7" spans="1:8" x14ac:dyDescent="0.3">
      <c r="A7" s="521" t="s">
        <v>681</v>
      </c>
      <c r="B7" s="521"/>
      <c r="C7" s="521"/>
      <c r="D7" s="521"/>
      <c r="E7" s="521"/>
      <c r="F7" s="521"/>
      <c r="G7" s="521"/>
      <c r="H7" s="521"/>
    </row>
    <row r="8" spans="1:8" s="259" customFormat="1" ht="32.4" x14ac:dyDescent="0.35">
      <c r="A8" s="92">
        <v>1</v>
      </c>
      <c r="B8" s="253" t="s">
        <v>904</v>
      </c>
      <c r="C8" s="262" t="s">
        <v>210</v>
      </c>
      <c r="D8" s="260" t="s">
        <v>24</v>
      </c>
      <c r="E8" s="93" t="s">
        <v>24</v>
      </c>
      <c r="F8" s="103">
        <f>SUM(F9:F13)</f>
        <v>392000</v>
      </c>
      <c r="G8" s="103">
        <f t="shared" ref="G8:H8" si="0">SUM(G9:G13)</f>
        <v>392000</v>
      </c>
      <c r="H8" s="103">
        <f t="shared" si="0"/>
        <v>0</v>
      </c>
    </row>
    <row r="9" spans="1:8" s="63" customFormat="1" x14ac:dyDescent="0.3">
      <c r="A9" s="14"/>
      <c r="B9" s="178" t="s">
        <v>838</v>
      </c>
      <c r="C9" s="245"/>
      <c r="D9" s="181">
        <v>240</v>
      </c>
      <c r="E9" s="98">
        <v>800</v>
      </c>
      <c r="F9" s="98">
        <f t="shared" ref="F9:F12" si="1">D9*E9</f>
        <v>192000</v>
      </c>
      <c r="G9" s="98">
        <v>192000</v>
      </c>
      <c r="H9" s="98"/>
    </row>
    <row r="10" spans="1:8" s="357" customFormat="1" x14ac:dyDescent="0.3">
      <c r="A10" s="407"/>
      <c r="B10" s="324" t="s">
        <v>903</v>
      </c>
      <c r="C10" s="323"/>
      <c r="D10" s="340">
        <v>50</v>
      </c>
      <c r="E10" s="341">
        <v>1000</v>
      </c>
      <c r="F10" s="341">
        <f t="shared" si="1"/>
        <v>50000</v>
      </c>
      <c r="G10" s="341">
        <v>50000</v>
      </c>
      <c r="H10" s="341"/>
    </row>
    <row r="11" spans="1:8" s="357" customFormat="1" x14ac:dyDescent="0.3">
      <c r="A11" s="407"/>
      <c r="B11" s="324" t="s">
        <v>839</v>
      </c>
      <c r="C11" s="323"/>
      <c r="D11" s="340">
        <v>50</v>
      </c>
      <c r="E11" s="341">
        <v>1000</v>
      </c>
      <c r="F11" s="341">
        <f t="shared" si="1"/>
        <v>50000</v>
      </c>
      <c r="G11" s="341">
        <v>50000</v>
      </c>
      <c r="H11" s="341"/>
    </row>
    <row r="12" spans="1:8" s="357" customFormat="1" x14ac:dyDescent="0.3">
      <c r="A12" s="407"/>
      <c r="B12" s="324" t="s">
        <v>840</v>
      </c>
      <c r="C12" s="323"/>
      <c r="D12" s="340">
        <v>50</v>
      </c>
      <c r="E12" s="341">
        <v>1000</v>
      </c>
      <c r="F12" s="341">
        <f t="shared" si="1"/>
        <v>50000</v>
      </c>
      <c r="G12" s="341">
        <v>50000</v>
      </c>
      <c r="H12" s="341"/>
    </row>
    <row r="13" spans="1:8" s="357" customFormat="1" x14ac:dyDescent="0.3">
      <c r="A13" s="407"/>
      <c r="B13" s="324" t="s">
        <v>841</v>
      </c>
      <c r="C13" s="323"/>
      <c r="D13" s="340">
        <v>50</v>
      </c>
      <c r="E13" s="341">
        <v>1000</v>
      </c>
      <c r="F13" s="341">
        <f>D13*E13</f>
        <v>50000</v>
      </c>
      <c r="G13" s="341">
        <v>50000</v>
      </c>
      <c r="H13" s="341"/>
    </row>
    <row r="14" spans="1:8" s="408" customFormat="1" ht="16.2" x14ac:dyDescent="0.3">
      <c r="A14" s="407"/>
      <c r="B14" s="324" t="s">
        <v>842</v>
      </c>
      <c r="C14" s="323"/>
      <c r="D14" s="340">
        <v>50</v>
      </c>
      <c r="E14" s="341">
        <v>1000</v>
      </c>
      <c r="F14" s="341">
        <f>D14*E14</f>
        <v>50000</v>
      </c>
      <c r="G14" s="341">
        <v>50000</v>
      </c>
      <c r="H14" s="341"/>
    </row>
    <row r="15" spans="1:8" s="408" customFormat="1" ht="16.2" x14ac:dyDescent="0.3">
      <c r="A15" s="407"/>
      <c r="B15" s="324" t="s">
        <v>843</v>
      </c>
      <c r="C15" s="323"/>
      <c r="D15" s="340">
        <v>50</v>
      </c>
      <c r="E15" s="341">
        <v>1000</v>
      </c>
      <c r="F15" s="341">
        <f>D15*E15</f>
        <v>50000</v>
      </c>
      <c r="G15" s="341">
        <v>50000</v>
      </c>
      <c r="H15" s="341"/>
    </row>
    <row r="16" spans="1:8" s="357" customFormat="1" ht="48.6" x14ac:dyDescent="0.35">
      <c r="A16" s="409">
        <v>2</v>
      </c>
      <c r="B16" s="146" t="s">
        <v>686</v>
      </c>
      <c r="C16" s="369" t="s">
        <v>24</v>
      </c>
      <c r="D16" s="410" t="s">
        <v>24</v>
      </c>
      <c r="E16" s="337" t="s">
        <v>24</v>
      </c>
      <c r="F16" s="335">
        <f>F17+F22+F27+F32</f>
        <v>6028100</v>
      </c>
      <c r="G16" s="335">
        <f>G17+G22+G27+G32</f>
        <v>5288100</v>
      </c>
      <c r="H16" s="335">
        <f>H17+H22+H27+H32</f>
        <v>740000</v>
      </c>
    </row>
    <row r="17" spans="1:8" s="357" customFormat="1" ht="32.4" x14ac:dyDescent="0.35">
      <c r="A17" s="409" t="s">
        <v>524</v>
      </c>
      <c r="B17" s="146" t="s">
        <v>688</v>
      </c>
      <c r="C17" s="369" t="s">
        <v>210</v>
      </c>
      <c r="D17" s="410" t="s">
        <v>24</v>
      </c>
      <c r="E17" s="337" t="s">
        <v>24</v>
      </c>
      <c r="F17" s="335">
        <f>SUM(F18:F20)</f>
        <v>560000</v>
      </c>
      <c r="G17" s="335">
        <f>SUM(G18:G20)</f>
        <v>360000</v>
      </c>
      <c r="H17" s="335">
        <f>SUM(H18:H20)</f>
        <v>200000</v>
      </c>
    </row>
    <row r="18" spans="1:8" s="357" customFormat="1" x14ac:dyDescent="0.3">
      <c r="A18" s="407"/>
      <c r="B18" s="411" t="s">
        <v>844</v>
      </c>
      <c r="C18" s="323"/>
      <c r="D18" s="340">
        <v>10</v>
      </c>
      <c r="E18" s="341">
        <v>36000</v>
      </c>
      <c r="F18" s="341">
        <f t="shared" ref="F18:F19" si="2">D18*E18</f>
        <v>360000</v>
      </c>
      <c r="G18" s="341">
        <v>360000</v>
      </c>
      <c r="H18" s="341"/>
    </row>
    <row r="19" spans="1:8" s="357" customFormat="1" x14ac:dyDescent="0.3">
      <c r="A19" s="407"/>
      <c r="B19" s="411" t="s">
        <v>881</v>
      </c>
      <c r="C19" s="323"/>
      <c r="D19" s="340">
        <v>1</v>
      </c>
      <c r="E19" s="341">
        <v>200000</v>
      </c>
      <c r="F19" s="341">
        <f t="shared" si="2"/>
        <v>200000</v>
      </c>
      <c r="G19" s="341"/>
      <c r="H19" s="341">
        <v>200000</v>
      </c>
    </row>
    <row r="20" spans="1:8" s="408" customFormat="1" ht="16.2" x14ac:dyDescent="0.3">
      <c r="A20" s="407"/>
      <c r="B20" s="411"/>
      <c r="C20" s="323"/>
      <c r="D20" s="340"/>
      <c r="E20" s="341"/>
      <c r="F20" s="341"/>
      <c r="G20" s="341"/>
      <c r="H20" s="341"/>
    </row>
    <row r="21" spans="1:8" s="357" customFormat="1" x14ac:dyDescent="0.3">
      <c r="A21" s="407"/>
      <c r="B21" s="411"/>
      <c r="C21" s="323"/>
      <c r="D21" s="340"/>
      <c r="E21" s="341"/>
      <c r="F21" s="341"/>
      <c r="G21" s="341"/>
      <c r="H21" s="341"/>
    </row>
    <row r="22" spans="1:8" s="357" customFormat="1" ht="32.4" x14ac:dyDescent="0.35">
      <c r="A22" s="409" t="s">
        <v>525</v>
      </c>
      <c r="B22" s="146" t="s">
        <v>689</v>
      </c>
      <c r="C22" s="369" t="s">
        <v>216</v>
      </c>
      <c r="D22" s="410" t="s">
        <v>24</v>
      </c>
      <c r="E22" s="337" t="s">
        <v>24</v>
      </c>
      <c r="F22" s="335">
        <f>SUM(F23:F26)</f>
        <v>5333100</v>
      </c>
      <c r="G22" s="335">
        <f t="shared" ref="G22:H22" si="3">SUM(G23:G26)</f>
        <v>4793100</v>
      </c>
      <c r="H22" s="335">
        <f t="shared" si="3"/>
        <v>540000</v>
      </c>
    </row>
    <row r="23" spans="1:8" s="357" customFormat="1" x14ac:dyDescent="0.3">
      <c r="A23" s="407"/>
      <c r="B23" s="411" t="s">
        <v>845</v>
      </c>
      <c r="C23" s="323"/>
      <c r="D23" s="340">
        <v>51870</v>
      </c>
      <c r="E23" s="341">
        <v>41</v>
      </c>
      <c r="F23" s="341">
        <f t="shared" ref="F23:F25" si="4">D23*E23</f>
        <v>2126670</v>
      </c>
      <c r="G23" s="341">
        <v>1586670</v>
      </c>
      <c r="H23" s="341">
        <f>F23-G23</f>
        <v>540000</v>
      </c>
    </row>
    <row r="24" spans="1:8" s="357" customFormat="1" x14ac:dyDescent="0.3">
      <c r="A24" s="407"/>
      <c r="B24" s="411" t="s">
        <v>846</v>
      </c>
      <c r="C24" s="323"/>
      <c r="D24" s="340">
        <v>50130</v>
      </c>
      <c r="E24" s="341">
        <v>42</v>
      </c>
      <c r="F24" s="341">
        <f t="shared" si="4"/>
        <v>2105460</v>
      </c>
      <c r="G24" s="341">
        <v>2105460</v>
      </c>
      <c r="H24" s="341"/>
    </row>
    <row r="25" spans="1:8" s="408" customFormat="1" ht="16.2" x14ac:dyDescent="0.3">
      <c r="A25" s="407"/>
      <c r="B25" s="411" t="s">
        <v>847</v>
      </c>
      <c r="C25" s="323"/>
      <c r="D25" s="340">
        <v>2823</v>
      </c>
      <c r="E25" s="341">
        <v>390</v>
      </c>
      <c r="F25" s="341">
        <f t="shared" si="4"/>
        <v>1100970</v>
      </c>
      <c r="G25" s="341">
        <v>1100970</v>
      </c>
      <c r="H25" s="341"/>
    </row>
    <row r="26" spans="1:8" s="357" customFormat="1" x14ac:dyDescent="0.3">
      <c r="A26" s="407"/>
      <c r="B26" s="411"/>
      <c r="C26" s="323"/>
      <c r="D26" s="340"/>
      <c r="E26" s="341"/>
      <c r="F26" s="341">
        <f>D26*E26</f>
        <v>0</v>
      </c>
      <c r="G26" s="341"/>
      <c r="H26" s="341"/>
    </row>
    <row r="27" spans="1:8" s="357" customFormat="1" ht="32.4" x14ac:dyDescent="0.35">
      <c r="A27" s="409" t="s">
        <v>526</v>
      </c>
      <c r="B27" s="146" t="s">
        <v>687</v>
      </c>
      <c r="C27" s="369" t="s">
        <v>218</v>
      </c>
      <c r="D27" s="410" t="s">
        <v>24</v>
      </c>
      <c r="E27" s="337" t="s">
        <v>24</v>
      </c>
      <c r="F27" s="335">
        <f>SUM(F28:F31)</f>
        <v>135000</v>
      </c>
      <c r="G27" s="335">
        <f t="shared" ref="G27:H27" si="5">SUM(G28:G31)</f>
        <v>135000</v>
      </c>
      <c r="H27" s="335">
        <f t="shared" si="5"/>
        <v>0</v>
      </c>
    </row>
    <row r="28" spans="1:8" s="357" customFormat="1" x14ac:dyDescent="0.3">
      <c r="A28" s="407"/>
      <c r="B28" s="411" t="s">
        <v>848</v>
      </c>
      <c r="C28" s="323"/>
      <c r="D28" s="340">
        <v>10</v>
      </c>
      <c r="E28" s="341">
        <v>4500</v>
      </c>
      <c r="F28" s="341">
        <f t="shared" ref="F28:F30" si="6">D28*E28</f>
        <v>45000</v>
      </c>
      <c r="G28" s="341">
        <v>45000</v>
      </c>
      <c r="H28" s="341"/>
    </row>
    <row r="29" spans="1:8" s="357" customFormat="1" x14ac:dyDescent="0.3">
      <c r="A29" s="407"/>
      <c r="B29" s="411" t="s">
        <v>849</v>
      </c>
      <c r="C29" s="323"/>
      <c r="D29" s="340">
        <v>10</v>
      </c>
      <c r="E29" s="341">
        <v>9000</v>
      </c>
      <c r="F29" s="341">
        <f t="shared" si="6"/>
        <v>90000</v>
      </c>
      <c r="G29" s="341">
        <v>90000</v>
      </c>
      <c r="H29" s="341"/>
    </row>
    <row r="30" spans="1:8" s="408" customFormat="1" ht="16.2" x14ac:dyDescent="0.3">
      <c r="A30" s="407"/>
      <c r="B30" s="411"/>
      <c r="C30" s="323"/>
      <c r="D30" s="340"/>
      <c r="E30" s="341"/>
      <c r="F30" s="341">
        <f t="shared" si="6"/>
        <v>0</v>
      </c>
      <c r="G30" s="341"/>
      <c r="H30" s="341"/>
    </row>
    <row r="31" spans="1:8" s="357" customFormat="1" x14ac:dyDescent="0.3">
      <c r="A31" s="407"/>
      <c r="B31" s="411"/>
      <c r="C31" s="323"/>
      <c r="D31" s="340"/>
      <c r="E31" s="341"/>
      <c r="F31" s="341">
        <f>D31*E31</f>
        <v>0</v>
      </c>
      <c r="G31" s="341"/>
      <c r="H31" s="341"/>
    </row>
    <row r="32" spans="1:8" s="357" customFormat="1" ht="32.4" x14ac:dyDescent="0.35">
      <c r="A32" s="409" t="s">
        <v>527</v>
      </c>
      <c r="B32" s="146" t="s">
        <v>690</v>
      </c>
      <c r="C32" s="369" t="s">
        <v>218</v>
      </c>
      <c r="D32" s="410" t="s">
        <v>24</v>
      </c>
      <c r="E32" s="337" t="s">
        <v>24</v>
      </c>
      <c r="F32" s="335">
        <f>SUM(F33:F36)</f>
        <v>0</v>
      </c>
      <c r="G32" s="335">
        <f t="shared" ref="G32:H32" si="7">SUM(G33:G36)</f>
        <v>0</v>
      </c>
      <c r="H32" s="335">
        <f t="shared" si="7"/>
        <v>0</v>
      </c>
    </row>
    <row r="33" spans="1:8" s="357" customFormat="1" x14ac:dyDescent="0.3">
      <c r="A33" s="407"/>
      <c r="B33" s="324"/>
      <c r="C33" s="323"/>
      <c r="D33" s="340"/>
      <c r="E33" s="341"/>
      <c r="F33" s="341"/>
      <c r="G33" s="341"/>
      <c r="H33" s="341"/>
    </row>
    <row r="34" spans="1:8" s="357" customFormat="1" x14ac:dyDescent="0.3">
      <c r="A34" s="407"/>
      <c r="B34" s="411"/>
      <c r="C34" s="323"/>
      <c r="D34" s="340"/>
      <c r="E34" s="341"/>
      <c r="F34" s="341"/>
      <c r="G34" s="341"/>
      <c r="H34" s="341"/>
    </row>
    <row r="35" spans="1:8" s="377" customFormat="1" x14ac:dyDescent="0.3">
      <c r="A35" s="407"/>
      <c r="B35" s="411" t="s">
        <v>850</v>
      </c>
      <c r="C35" s="323"/>
      <c r="D35" s="340"/>
      <c r="E35" s="341"/>
      <c r="F35" s="341"/>
      <c r="G35" s="341"/>
      <c r="H35" s="341"/>
    </row>
    <row r="36" spans="1:8" s="362" customFormat="1" x14ac:dyDescent="0.3">
      <c r="A36" s="407"/>
      <c r="B36" s="411"/>
      <c r="C36" s="323"/>
      <c r="D36" s="340"/>
      <c r="E36" s="341"/>
      <c r="F36" s="341">
        <f>D36*E36</f>
        <v>0</v>
      </c>
      <c r="G36" s="341"/>
      <c r="H36" s="341"/>
    </row>
    <row r="37" spans="1:8" s="408" customFormat="1" ht="16.2" x14ac:dyDescent="0.3">
      <c r="A37" s="412"/>
      <c r="B37" s="373" t="s">
        <v>385</v>
      </c>
      <c r="C37" s="413"/>
      <c r="D37" s="338" t="s">
        <v>24</v>
      </c>
      <c r="E37" s="338" t="s">
        <v>24</v>
      </c>
      <c r="F37" s="336">
        <f>F8+F16</f>
        <v>6420100</v>
      </c>
      <c r="G37" s="336">
        <f>G8+G16</f>
        <v>5680100</v>
      </c>
      <c r="H37" s="336">
        <f>H8+H16</f>
        <v>740000</v>
      </c>
    </row>
    <row r="38" spans="1:8" s="357" customFormat="1" x14ac:dyDescent="0.3">
      <c r="A38" s="687" t="s">
        <v>762</v>
      </c>
      <c r="B38" s="687"/>
      <c r="C38" s="687"/>
      <c r="D38" s="687"/>
      <c r="E38" s="687"/>
      <c r="F38" s="687"/>
      <c r="G38" s="687"/>
      <c r="H38" s="687"/>
    </row>
    <row r="39" spans="1:8" s="357" customFormat="1" ht="64.8" x14ac:dyDescent="0.35">
      <c r="A39" s="152">
        <v>1</v>
      </c>
      <c r="B39" s="146" t="s">
        <v>726</v>
      </c>
      <c r="C39" s="369" t="s">
        <v>210</v>
      </c>
      <c r="D39" s="410" t="s">
        <v>24</v>
      </c>
      <c r="E39" s="337" t="s">
        <v>24</v>
      </c>
      <c r="F39" s="335">
        <f>SUM(F40:F41)</f>
        <v>0</v>
      </c>
      <c r="G39" s="335">
        <f>SUM(G40:G41)</f>
        <v>0</v>
      </c>
      <c r="H39" s="335">
        <f>SUM(H40:H41)</f>
        <v>0</v>
      </c>
    </row>
    <row r="40" spans="1:8" s="357" customFormat="1" x14ac:dyDescent="0.3">
      <c r="A40" s="148"/>
      <c r="B40" s="324"/>
      <c r="C40" s="323"/>
      <c r="D40" s="340"/>
      <c r="E40" s="341"/>
      <c r="F40" s="341"/>
      <c r="G40" s="341"/>
      <c r="H40" s="341"/>
    </row>
    <row r="41" spans="1:8" s="357" customFormat="1" x14ac:dyDescent="0.3">
      <c r="A41" s="148"/>
      <c r="B41" s="324"/>
      <c r="C41" s="323"/>
      <c r="D41" s="340"/>
      <c r="E41" s="341"/>
      <c r="F41" s="341"/>
      <c r="G41" s="341"/>
      <c r="H41" s="341"/>
    </row>
    <row r="42" spans="1:8" s="357" customFormat="1" ht="64.8" x14ac:dyDescent="0.35">
      <c r="A42" s="152">
        <v>2</v>
      </c>
      <c r="B42" s="146" t="s">
        <v>691</v>
      </c>
      <c r="C42" s="369" t="s">
        <v>697</v>
      </c>
      <c r="D42" s="410" t="s">
        <v>24</v>
      </c>
      <c r="E42" s="337" t="s">
        <v>24</v>
      </c>
      <c r="F42" s="335">
        <f>F43+F44</f>
        <v>4027293.58</v>
      </c>
      <c r="G42" s="335">
        <f>G43+G44</f>
        <v>3181893.58</v>
      </c>
      <c r="H42" s="335">
        <f>H43+H44</f>
        <v>845400</v>
      </c>
    </row>
    <row r="43" spans="1:8" s="408" customFormat="1" ht="16.2" x14ac:dyDescent="0.35">
      <c r="A43" s="409" t="s">
        <v>524</v>
      </c>
      <c r="B43" s="146" t="s">
        <v>698</v>
      </c>
      <c r="C43" s="369" t="s">
        <v>212</v>
      </c>
      <c r="D43" s="410">
        <v>25</v>
      </c>
      <c r="E43" s="337">
        <f>8*365</f>
        <v>2920</v>
      </c>
      <c r="F43" s="335">
        <f>D43*E43</f>
        <v>73000</v>
      </c>
      <c r="G43" s="335">
        <f>F43</f>
        <v>73000</v>
      </c>
      <c r="H43" s="335"/>
    </row>
    <row r="44" spans="1:8" s="408" customFormat="1" ht="32.4" x14ac:dyDescent="0.35">
      <c r="A44" s="409" t="s">
        <v>525</v>
      </c>
      <c r="B44" s="146" t="s">
        <v>724</v>
      </c>
      <c r="C44" s="369" t="s">
        <v>214</v>
      </c>
      <c r="D44" s="410" t="s">
        <v>24</v>
      </c>
      <c r="E44" s="337" t="s">
        <v>24</v>
      </c>
      <c r="F44" s="335">
        <f>SUM(F45:F48)</f>
        <v>3954293.58</v>
      </c>
      <c r="G44" s="335">
        <f>SUM(G45:G48)</f>
        <v>3108893.58</v>
      </c>
      <c r="H44" s="335">
        <f>SUM(H45:H48)</f>
        <v>845400</v>
      </c>
    </row>
    <row r="45" spans="1:8" s="408" customFormat="1" ht="62.4" x14ac:dyDescent="0.3">
      <c r="A45" s="148"/>
      <c r="B45" s="324" t="s">
        <v>896</v>
      </c>
      <c r="C45" s="323" t="s">
        <v>897</v>
      </c>
      <c r="D45" s="340">
        <v>344</v>
      </c>
      <c r="E45" s="341">
        <v>20</v>
      </c>
      <c r="F45" s="341">
        <f>D45*E45*246-'340, 360'!F22</f>
        <v>1353984</v>
      </c>
      <c r="G45" s="341">
        <f>F45</f>
        <v>1353984</v>
      </c>
      <c r="H45" s="341"/>
    </row>
    <row r="46" spans="1:8" s="357" customFormat="1" ht="46.8" x14ac:dyDescent="0.3">
      <c r="A46" s="148"/>
      <c r="B46" s="324" t="s">
        <v>727</v>
      </c>
      <c r="C46" s="323" t="s">
        <v>897</v>
      </c>
      <c r="D46" s="340">
        <v>25</v>
      </c>
      <c r="E46" s="341">
        <v>163.5</v>
      </c>
      <c r="F46" s="341">
        <f>D46*E46*365-'Таблица 4.1'!D17</f>
        <v>1095450</v>
      </c>
      <c r="G46" s="341">
        <f t="shared" ref="G46" si="8">F46</f>
        <v>1095450</v>
      </c>
      <c r="H46" s="341"/>
    </row>
    <row r="47" spans="1:8" s="357" customFormat="1" ht="46.8" x14ac:dyDescent="0.3">
      <c r="A47" s="148"/>
      <c r="B47" s="324" t="s">
        <v>728</v>
      </c>
      <c r="C47" s="323" t="s">
        <v>897</v>
      </c>
      <c r="D47" s="340">
        <v>26</v>
      </c>
      <c r="E47" s="341">
        <v>121.3</v>
      </c>
      <c r="F47" s="341">
        <f>D47*E47*246-'340, 360'!F23</f>
        <v>659459.57999999996</v>
      </c>
      <c r="G47" s="341">
        <f>F47</f>
        <v>659459.57999999996</v>
      </c>
      <c r="H47" s="341"/>
    </row>
    <row r="48" spans="1:8" s="357" customFormat="1" x14ac:dyDescent="0.3">
      <c r="A48" s="148"/>
      <c r="B48" s="324" t="s">
        <v>898</v>
      </c>
      <c r="C48" s="323"/>
      <c r="D48" s="340"/>
      <c r="E48" s="341"/>
      <c r="F48" s="341">
        <v>845400</v>
      </c>
      <c r="G48" s="341"/>
      <c r="H48" s="341">
        <f>F48</f>
        <v>845400</v>
      </c>
    </row>
    <row r="49" spans="1:8" s="377" customFormat="1" x14ac:dyDescent="0.3">
      <c r="A49" s="412"/>
      <c r="B49" s="373" t="s">
        <v>385</v>
      </c>
      <c r="C49" s="413"/>
      <c r="D49" s="338" t="s">
        <v>24</v>
      </c>
      <c r="E49" s="338" t="s">
        <v>24</v>
      </c>
      <c r="F49" s="336">
        <f>F39+F42</f>
        <v>4027293.58</v>
      </c>
      <c r="G49" s="336">
        <f>G39+G42</f>
        <v>3181893.58</v>
      </c>
      <c r="H49" s="336">
        <f>H39+H42</f>
        <v>845400</v>
      </c>
    </row>
    <row r="50" spans="1:8" s="362" customFormat="1" x14ac:dyDescent="0.3">
      <c r="A50" s="686" t="s">
        <v>634</v>
      </c>
      <c r="B50" s="686"/>
      <c r="C50" s="686"/>
      <c r="D50" s="686"/>
      <c r="E50" s="686"/>
      <c r="F50" s="686"/>
      <c r="G50" s="686"/>
      <c r="H50" s="686"/>
    </row>
    <row r="51" spans="1:8" s="408" customFormat="1" ht="16.2" customHeight="1" x14ac:dyDescent="0.35">
      <c r="A51" s="409" t="s">
        <v>483</v>
      </c>
      <c r="B51" s="146" t="s">
        <v>699</v>
      </c>
      <c r="C51" s="369" t="s">
        <v>216</v>
      </c>
      <c r="D51" s="410">
        <v>4500</v>
      </c>
      <c r="E51" s="337">
        <v>40</v>
      </c>
      <c r="F51" s="335">
        <f>D51*E51</f>
        <v>180000</v>
      </c>
      <c r="G51" s="335">
        <v>100000</v>
      </c>
      <c r="H51" s="335">
        <v>80000</v>
      </c>
    </row>
    <row r="52" spans="1:8" s="408" customFormat="1" ht="16.2" customHeight="1" x14ac:dyDescent="0.35">
      <c r="A52" s="409" t="s">
        <v>484</v>
      </c>
      <c r="B52" s="146" t="s">
        <v>725</v>
      </c>
      <c r="C52" s="369" t="s">
        <v>218</v>
      </c>
      <c r="D52" s="410" t="s">
        <v>24</v>
      </c>
      <c r="E52" s="337" t="s">
        <v>24</v>
      </c>
      <c r="F52" s="335">
        <f>SUM(F53:F63)</f>
        <v>838326.34</v>
      </c>
      <c r="G52" s="335">
        <f>SUM(G53:G63)</f>
        <v>484182.17</v>
      </c>
      <c r="H52" s="335">
        <f>SUM(H53:H63)</f>
        <v>354144.17</v>
      </c>
    </row>
    <row r="53" spans="1:8" s="357" customFormat="1" ht="15.6" customHeight="1" x14ac:dyDescent="0.3">
      <c r="A53" s="148"/>
      <c r="B53" s="324" t="s">
        <v>701</v>
      </c>
      <c r="C53" s="323"/>
      <c r="D53" s="340">
        <v>160</v>
      </c>
      <c r="E53" s="341">
        <v>2000</v>
      </c>
      <c r="F53" s="341">
        <f>D53*E53</f>
        <v>320000</v>
      </c>
      <c r="G53" s="341">
        <v>277000</v>
      </c>
      <c r="H53" s="341">
        <v>43000</v>
      </c>
    </row>
    <row r="54" spans="1:8" s="357" customFormat="1" ht="15.6" customHeight="1" x14ac:dyDescent="0.3">
      <c r="A54" s="148"/>
      <c r="B54" s="324" t="s">
        <v>702</v>
      </c>
      <c r="C54" s="323"/>
      <c r="D54" s="340">
        <v>100</v>
      </c>
      <c r="E54" s="341">
        <v>852.88</v>
      </c>
      <c r="F54" s="341">
        <f t="shared" ref="F54:F62" si="9">D54*E54</f>
        <v>85288</v>
      </c>
      <c r="G54" s="341">
        <v>50500.3</v>
      </c>
      <c r="H54" s="341">
        <v>34787.699999999997</v>
      </c>
    </row>
    <row r="55" spans="1:8" s="357" customFormat="1" x14ac:dyDescent="0.3">
      <c r="A55" s="148"/>
      <c r="B55" s="324" t="s">
        <v>703</v>
      </c>
      <c r="C55" s="323"/>
      <c r="D55" s="340">
        <v>200</v>
      </c>
      <c r="E55" s="341">
        <v>260</v>
      </c>
      <c r="F55" s="341">
        <f t="shared" si="9"/>
        <v>52000</v>
      </c>
      <c r="G55" s="341">
        <v>26000</v>
      </c>
      <c r="H55" s="341">
        <v>26000</v>
      </c>
    </row>
    <row r="56" spans="1:8" s="357" customFormat="1" x14ac:dyDescent="0.3">
      <c r="A56" s="148"/>
      <c r="B56" s="324" t="s">
        <v>704</v>
      </c>
      <c r="C56" s="323"/>
      <c r="D56" s="340">
        <v>200</v>
      </c>
      <c r="E56" s="341">
        <v>250</v>
      </c>
      <c r="F56" s="341">
        <f t="shared" si="9"/>
        <v>50000</v>
      </c>
      <c r="G56" s="341">
        <v>40000</v>
      </c>
      <c r="H56" s="341">
        <v>10000</v>
      </c>
    </row>
    <row r="57" spans="1:8" s="357" customFormat="1" x14ac:dyDescent="0.3">
      <c r="A57" s="148"/>
      <c r="B57" s="324" t="s">
        <v>705</v>
      </c>
      <c r="C57" s="323"/>
      <c r="D57" s="340">
        <v>180</v>
      </c>
      <c r="E57" s="341">
        <v>2000</v>
      </c>
      <c r="F57" s="341">
        <v>300868.34000000003</v>
      </c>
      <c r="G57" s="341">
        <v>88011.87</v>
      </c>
      <c r="H57" s="341">
        <v>212856.47</v>
      </c>
    </row>
    <row r="58" spans="1:8" s="357" customFormat="1" x14ac:dyDescent="0.3">
      <c r="A58" s="148"/>
      <c r="B58" s="324" t="s">
        <v>851</v>
      </c>
      <c r="C58" s="323"/>
      <c r="D58" s="340">
        <v>150</v>
      </c>
      <c r="E58" s="341">
        <v>167.8</v>
      </c>
      <c r="F58" s="341">
        <f t="shared" si="9"/>
        <v>25170</v>
      </c>
      <c r="G58" s="341">
        <v>170</v>
      </c>
      <c r="H58" s="341">
        <v>25000</v>
      </c>
    </row>
    <row r="59" spans="1:8" s="357" customFormat="1" x14ac:dyDescent="0.3">
      <c r="A59" s="148"/>
      <c r="B59" s="324" t="s">
        <v>852</v>
      </c>
      <c r="C59" s="323"/>
      <c r="D59" s="340">
        <v>100</v>
      </c>
      <c r="E59" s="341">
        <v>50</v>
      </c>
      <c r="F59" s="341">
        <f t="shared" si="9"/>
        <v>5000</v>
      </c>
      <c r="G59" s="341">
        <v>2500</v>
      </c>
      <c r="H59" s="341">
        <v>2500</v>
      </c>
    </row>
    <row r="60" spans="1:8" s="357" customFormat="1" x14ac:dyDescent="0.3">
      <c r="A60" s="148"/>
      <c r="B60" s="324"/>
      <c r="C60" s="323"/>
      <c r="D60" s="340"/>
      <c r="E60" s="341"/>
      <c r="F60" s="341">
        <f t="shared" si="9"/>
        <v>0</v>
      </c>
      <c r="G60" s="341"/>
      <c r="H60" s="341"/>
    </row>
    <row r="61" spans="1:8" s="63" customFormat="1" x14ac:dyDescent="0.3">
      <c r="A61" s="202"/>
      <c r="B61" s="178"/>
      <c r="C61" s="245"/>
      <c r="D61" s="181"/>
      <c r="E61" s="98"/>
      <c r="F61" s="98">
        <f t="shared" si="9"/>
        <v>0</v>
      </c>
      <c r="G61" s="98"/>
      <c r="H61" s="98"/>
    </row>
    <row r="62" spans="1:8" s="63" customFormat="1" x14ac:dyDescent="0.3">
      <c r="A62" s="202"/>
      <c r="B62" s="178"/>
      <c r="C62" s="245"/>
      <c r="D62" s="181"/>
      <c r="E62" s="98"/>
      <c r="F62" s="98">
        <f t="shared" si="9"/>
        <v>0</v>
      </c>
      <c r="G62" s="98"/>
      <c r="H62" s="98"/>
    </row>
    <row r="63" spans="1:8" s="63" customFormat="1" x14ac:dyDescent="0.3">
      <c r="A63" s="202"/>
      <c r="B63" s="178"/>
      <c r="C63" s="245"/>
      <c r="D63" s="181"/>
      <c r="E63" s="98"/>
      <c r="F63" s="98">
        <f>D63*E63</f>
        <v>0</v>
      </c>
      <c r="G63" s="98"/>
      <c r="H63" s="98"/>
    </row>
    <row r="64" spans="1:8" s="63" customFormat="1" x14ac:dyDescent="0.3">
      <c r="A64" s="13"/>
      <c r="B64" s="242" t="s">
        <v>385</v>
      </c>
      <c r="C64" s="263"/>
      <c r="D64" s="238" t="s">
        <v>24</v>
      </c>
      <c r="E64" s="238" t="s">
        <v>24</v>
      </c>
      <c r="F64" s="101">
        <f>F51+F52</f>
        <v>1018326.34</v>
      </c>
      <c r="G64" s="101">
        <f>G51+G52</f>
        <v>584182.17000000004</v>
      </c>
      <c r="H64" s="101">
        <f>H51+H52</f>
        <v>434144.17</v>
      </c>
    </row>
    <row r="65" spans="1:8" s="194" customFormat="1" x14ac:dyDescent="0.3">
      <c r="A65" s="694" t="s">
        <v>634</v>
      </c>
      <c r="B65" s="694"/>
      <c r="C65" s="694"/>
      <c r="D65" s="694"/>
      <c r="E65" s="694"/>
      <c r="F65" s="694"/>
      <c r="G65" s="694"/>
      <c r="H65" s="694"/>
    </row>
    <row r="66" spans="1:8" ht="16.2" x14ac:dyDescent="0.35">
      <c r="A66" s="92" t="s">
        <v>483</v>
      </c>
      <c r="B66" s="253" t="s">
        <v>787</v>
      </c>
      <c r="C66" s="262" t="s">
        <v>208</v>
      </c>
      <c r="D66" s="260" t="s">
        <v>24</v>
      </c>
      <c r="E66" s="93" t="s">
        <v>24</v>
      </c>
      <c r="F66" s="103">
        <f>SUM(F67:F68)</f>
        <v>0</v>
      </c>
      <c r="G66" s="103">
        <f>SUM(G67:G68)</f>
        <v>0</v>
      </c>
      <c r="H66" s="103">
        <f>SUM(H67:H68)</f>
        <v>0</v>
      </c>
    </row>
    <row r="67" spans="1:8" s="259" customFormat="1" ht="16.2" x14ac:dyDescent="0.3">
      <c r="A67" s="202"/>
      <c r="B67" s="178"/>
      <c r="C67" s="245"/>
      <c r="D67" s="181"/>
      <c r="E67" s="98"/>
      <c r="F67" s="98">
        <f t="shared" ref="F67:F73" si="10">D67*E67</f>
        <v>0</v>
      </c>
      <c r="G67" s="98"/>
      <c r="H67" s="98"/>
    </row>
    <row r="68" spans="1:8" s="63" customFormat="1" x14ac:dyDescent="0.3">
      <c r="A68" s="202"/>
      <c r="B68" s="178"/>
      <c r="C68" s="245"/>
      <c r="D68" s="181"/>
      <c r="E68" s="98"/>
      <c r="F68" s="98">
        <f t="shared" si="10"/>
        <v>0</v>
      </c>
      <c r="G68" s="98"/>
      <c r="H68" s="98"/>
    </row>
    <row r="69" spans="1:8" s="63" customFormat="1" x14ac:dyDescent="0.3">
      <c r="A69" s="202"/>
      <c r="B69" s="178"/>
      <c r="C69" s="245"/>
      <c r="D69" s="181"/>
      <c r="E69" s="98"/>
      <c r="F69" s="98">
        <f t="shared" si="10"/>
        <v>0</v>
      </c>
      <c r="G69" s="98"/>
      <c r="H69" s="98"/>
    </row>
    <row r="70" spans="1:8" s="63" customFormat="1" x14ac:dyDescent="0.3">
      <c r="A70" s="202"/>
      <c r="B70" s="178"/>
      <c r="C70" s="245"/>
      <c r="D70" s="181"/>
      <c r="E70" s="98"/>
      <c r="F70" s="98">
        <f t="shared" si="10"/>
        <v>0</v>
      </c>
      <c r="G70" s="98"/>
      <c r="H70" s="98"/>
    </row>
    <row r="71" spans="1:8" s="63" customFormat="1" x14ac:dyDescent="0.3">
      <c r="A71" s="202"/>
      <c r="B71" s="178"/>
      <c r="C71" s="245"/>
      <c r="D71" s="181"/>
      <c r="E71" s="98"/>
      <c r="F71" s="98">
        <f t="shared" si="10"/>
        <v>0</v>
      </c>
      <c r="G71" s="98"/>
      <c r="H71" s="98"/>
    </row>
    <row r="72" spans="1:8" s="63" customFormat="1" x14ac:dyDescent="0.3">
      <c r="A72" s="202"/>
      <c r="B72" s="178"/>
      <c r="C72" s="245"/>
      <c r="D72" s="181"/>
      <c r="E72" s="98"/>
      <c r="F72" s="98">
        <f t="shared" si="10"/>
        <v>0</v>
      </c>
      <c r="G72" s="98"/>
      <c r="H72" s="98"/>
    </row>
    <row r="73" spans="1:8" s="63" customFormat="1" x14ac:dyDescent="0.3">
      <c r="A73" s="202"/>
      <c r="B73" s="178"/>
      <c r="C73" s="245"/>
      <c r="D73" s="181"/>
      <c r="E73" s="98"/>
      <c r="F73" s="98">
        <f t="shared" si="10"/>
        <v>0</v>
      </c>
      <c r="G73" s="98"/>
      <c r="H73" s="98"/>
    </row>
    <row r="74" spans="1:8" s="63" customFormat="1" x14ac:dyDescent="0.3">
      <c r="A74" s="202"/>
      <c r="B74" s="178"/>
      <c r="C74" s="245"/>
      <c r="D74" s="181"/>
      <c r="E74" s="98"/>
      <c r="F74" s="98">
        <f>D74*E74</f>
        <v>0</v>
      </c>
      <c r="G74" s="98"/>
      <c r="H74" s="98"/>
    </row>
    <row r="75" spans="1:8" s="63" customFormat="1" x14ac:dyDescent="0.3">
      <c r="A75" s="13"/>
      <c r="B75" s="242" t="s">
        <v>385</v>
      </c>
      <c r="C75" s="263"/>
      <c r="D75" s="238" t="s">
        <v>24</v>
      </c>
      <c r="E75" s="238" t="s">
        <v>24</v>
      </c>
      <c r="F75" s="101">
        <f>F66</f>
        <v>0</v>
      </c>
      <c r="G75" s="101">
        <f t="shared" ref="G75:H75" si="11">G66</f>
        <v>0</v>
      </c>
      <c r="H75" s="101">
        <f t="shared" si="11"/>
        <v>0</v>
      </c>
    </row>
    <row r="76" spans="1:8" s="194" customFormat="1" x14ac:dyDescent="0.3">
      <c r="A76" s="13"/>
      <c r="B76" s="242" t="s">
        <v>564</v>
      </c>
      <c r="C76" s="263"/>
      <c r="D76" s="238" t="s">
        <v>24</v>
      </c>
      <c r="E76" s="238" t="s">
        <v>24</v>
      </c>
      <c r="F76" s="336">
        <f>F37+F49+F64</f>
        <v>11465719.92</v>
      </c>
      <c r="G76" s="336">
        <f>G37+G49+G64</f>
        <v>9446175.75</v>
      </c>
      <c r="H76" s="336">
        <f>H37+H49+H64</f>
        <v>2019544.17</v>
      </c>
    </row>
    <row r="77" spans="1:8" s="194" customFormat="1" x14ac:dyDescent="0.3">
      <c r="A77" s="14"/>
      <c r="B77" s="261" t="s">
        <v>210</v>
      </c>
      <c r="C77" s="245"/>
      <c r="D77" s="15" t="s">
        <v>24</v>
      </c>
      <c r="E77" s="15" t="s">
        <v>24</v>
      </c>
      <c r="F77" s="341">
        <f>F8+F17+F39</f>
        <v>952000</v>
      </c>
      <c r="G77" s="341">
        <f>G8+G17+G39</f>
        <v>752000</v>
      </c>
      <c r="H77" s="341">
        <f>H8+H17+H39</f>
        <v>200000</v>
      </c>
    </row>
    <row r="78" spans="1:8" s="63" customFormat="1" x14ac:dyDescent="0.3">
      <c r="A78" s="14"/>
      <c r="B78" s="261" t="s">
        <v>212</v>
      </c>
      <c r="C78" s="245"/>
      <c r="D78" s="15" t="s">
        <v>24</v>
      </c>
      <c r="E78" s="15" t="s">
        <v>24</v>
      </c>
      <c r="F78" s="341">
        <f t="shared" ref="F78:H79" si="12">F43</f>
        <v>73000</v>
      </c>
      <c r="G78" s="341">
        <f t="shared" si="12"/>
        <v>73000</v>
      </c>
      <c r="H78" s="341">
        <f t="shared" si="12"/>
        <v>0</v>
      </c>
    </row>
    <row r="79" spans="1:8" s="63" customFormat="1" x14ac:dyDescent="0.3">
      <c r="A79" s="14"/>
      <c r="B79" s="261" t="s">
        <v>214</v>
      </c>
      <c r="C79" s="245"/>
      <c r="D79" s="15" t="s">
        <v>24</v>
      </c>
      <c r="E79" s="15" t="s">
        <v>24</v>
      </c>
      <c r="F79" s="341">
        <f t="shared" si="12"/>
        <v>3954293.58</v>
      </c>
      <c r="G79" s="341">
        <f t="shared" si="12"/>
        <v>3108893.58</v>
      </c>
      <c r="H79" s="341">
        <f t="shared" si="12"/>
        <v>845400</v>
      </c>
    </row>
    <row r="80" spans="1:8" s="63" customFormat="1" x14ac:dyDescent="0.3">
      <c r="A80" s="14"/>
      <c r="B80" s="261" t="s">
        <v>216</v>
      </c>
      <c r="C80" s="245"/>
      <c r="D80" s="15" t="s">
        <v>24</v>
      </c>
      <c r="E80" s="15" t="s">
        <v>24</v>
      </c>
      <c r="F80" s="341">
        <f>F22+F51</f>
        <v>5513100</v>
      </c>
      <c r="G80" s="341">
        <f>G22+G51</f>
        <v>4893100</v>
      </c>
      <c r="H80" s="341">
        <f>H22+H51</f>
        <v>620000</v>
      </c>
    </row>
    <row r="81" spans="1:8" s="63" customFormat="1" x14ac:dyDescent="0.3">
      <c r="A81" s="14"/>
      <c r="B81" s="261" t="s">
        <v>218</v>
      </c>
      <c r="C81" s="245"/>
      <c r="D81" s="15" t="s">
        <v>24</v>
      </c>
      <c r="E81" s="15" t="s">
        <v>24</v>
      </c>
      <c r="F81" s="341">
        <f>F27+F32+F52</f>
        <v>973326.34</v>
      </c>
      <c r="G81" s="341">
        <f>G27+G32+G52</f>
        <v>619182.17000000004</v>
      </c>
      <c r="H81" s="341">
        <f>H27+H32+H52</f>
        <v>354144.17</v>
      </c>
    </row>
    <row r="82" spans="1:8" s="63" customFormat="1" x14ac:dyDescent="0.3">
      <c r="A82" s="14"/>
      <c r="B82" s="261" t="s">
        <v>208</v>
      </c>
      <c r="C82" s="245"/>
      <c r="D82" s="15" t="s">
        <v>24</v>
      </c>
      <c r="E82" s="15" t="s">
        <v>24</v>
      </c>
      <c r="F82" s="341">
        <f>F66</f>
        <v>0</v>
      </c>
      <c r="G82" s="341">
        <f t="shared" ref="G82:H82" si="13">G66</f>
        <v>0</v>
      </c>
      <c r="H82" s="341">
        <f t="shared" si="13"/>
        <v>0</v>
      </c>
    </row>
    <row r="83" spans="1:8" s="63" customFormat="1" x14ac:dyDescent="0.3">
      <c r="A83" s="1"/>
      <c r="B83" s="1"/>
      <c r="C83" s="309"/>
      <c r="D83" s="1"/>
      <c r="E83" s="1"/>
      <c r="F83" s="1"/>
      <c r="G83" s="1"/>
      <c r="H83" s="57"/>
    </row>
    <row r="84" spans="1:8" x14ac:dyDescent="0.3">
      <c r="A84" s="273" t="s">
        <v>352</v>
      </c>
      <c r="B84" s="272"/>
      <c r="C84" s="234"/>
      <c r="D84" s="234"/>
      <c r="E84" s="231"/>
      <c r="F84" s="692" t="s">
        <v>810</v>
      </c>
      <c r="G84" s="692"/>
      <c r="H84" s="231"/>
    </row>
    <row r="85" spans="1:8" s="231" customFormat="1" ht="15.75" customHeight="1" x14ac:dyDescent="0.3">
      <c r="A85" s="274"/>
      <c r="B85" s="274"/>
      <c r="C85" s="695" t="s">
        <v>96</v>
      </c>
      <c r="D85" s="695"/>
      <c r="E85" s="235"/>
      <c r="F85" s="693" t="s">
        <v>97</v>
      </c>
      <c r="G85" s="693"/>
      <c r="H85" s="275"/>
    </row>
    <row r="86" spans="1:8" s="275" customFormat="1" ht="13.2" customHeight="1" x14ac:dyDescent="0.25">
      <c r="A86" s="274"/>
      <c r="B86" s="274"/>
      <c r="C86" s="310"/>
      <c r="D86" s="310"/>
      <c r="E86" s="235"/>
      <c r="F86" s="310"/>
      <c r="G86" s="310"/>
    </row>
    <row r="87" spans="1:8" s="275" customFormat="1" x14ac:dyDescent="0.3">
      <c r="A87" s="273" t="s">
        <v>296</v>
      </c>
      <c r="B87" s="273"/>
      <c r="C87" s="234"/>
      <c r="D87" s="234"/>
      <c r="E87" s="231"/>
      <c r="F87" s="692" t="s">
        <v>811</v>
      </c>
      <c r="G87" s="692"/>
      <c r="H87" s="231"/>
    </row>
    <row r="88" spans="1:8" s="231" customFormat="1" ht="15.75" customHeight="1" x14ac:dyDescent="0.3">
      <c r="A88" s="275" t="s">
        <v>154</v>
      </c>
      <c r="B88" s="275"/>
      <c r="C88" s="693" t="s">
        <v>96</v>
      </c>
      <c r="D88" s="693"/>
      <c r="E88" s="275"/>
      <c r="F88" s="693" t="s">
        <v>97</v>
      </c>
      <c r="G88" s="693"/>
      <c r="H88" s="275"/>
    </row>
    <row r="89" spans="1:8" s="275" customFormat="1" ht="13.2" customHeight="1" x14ac:dyDescent="0.3">
      <c r="A89" s="1"/>
      <c r="B89" s="1"/>
      <c r="C89" s="309"/>
      <c r="D89" s="1"/>
      <c r="E89" s="1"/>
      <c r="F89" s="1"/>
      <c r="G89" s="1"/>
      <c r="H89" s="57"/>
    </row>
  </sheetData>
  <mergeCells count="19">
    <mergeCell ref="F87:G87"/>
    <mergeCell ref="C88:D88"/>
    <mergeCell ref="F88:G88"/>
    <mergeCell ref="A50:H50"/>
    <mergeCell ref="A38:H38"/>
    <mergeCell ref="A65:H65"/>
    <mergeCell ref="F84:G84"/>
    <mergeCell ref="C85:D85"/>
    <mergeCell ref="F85:G85"/>
    <mergeCell ref="A1:H1"/>
    <mergeCell ref="A2:H2"/>
    <mergeCell ref="C4:C5"/>
    <mergeCell ref="A7:H7"/>
    <mergeCell ref="G4:H4"/>
    <mergeCell ref="A4:A5"/>
    <mergeCell ref="B4:B5"/>
    <mergeCell ref="D4:D5"/>
    <mergeCell ref="E4:E5"/>
    <mergeCell ref="F4:F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2" fitToHeight="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80" zoomScaleNormal="80" workbookViewId="0">
      <selection activeCell="A4" sqref="A4"/>
    </sheetView>
  </sheetViews>
  <sheetFormatPr defaultColWidth="9.109375" defaultRowHeight="15.6" x14ac:dyDescent="0.3"/>
  <cols>
    <col min="1" max="1" width="5.44140625" style="362" customWidth="1"/>
    <col min="2" max="2" width="25.6640625" style="362" customWidth="1"/>
    <col min="3" max="3" width="15.88671875" style="362" customWidth="1"/>
    <col min="4" max="4" width="30.6640625" style="362" customWidth="1"/>
    <col min="5" max="5" width="9.109375" style="362" bestFit="1" customWidth="1"/>
    <col min="6" max="8" width="15.6640625" style="362" customWidth="1"/>
    <col min="9" max="16384" width="9.109375" style="362"/>
  </cols>
  <sheetData>
    <row r="1" spans="1:8" s="380" customFormat="1" ht="17.399999999999999" customHeight="1" x14ac:dyDescent="0.3">
      <c r="A1" s="696" t="s">
        <v>734</v>
      </c>
      <c r="B1" s="696"/>
      <c r="C1" s="696"/>
      <c r="D1" s="696"/>
      <c r="E1" s="696"/>
      <c r="F1" s="696"/>
      <c r="G1" s="696"/>
      <c r="H1" s="696"/>
    </row>
    <row r="2" spans="1:8" s="380" customFormat="1" ht="18.75" customHeight="1" x14ac:dyDescent="0.3">
      <c r="A2" s="697" t="str">
        <f>'Заголовочная часть'!B14</f>
        <v>Областное государственное бюджетное профессиональное образовательное учреждение "Костромской автодорожный колледж"</v>
      </c>
      <c r="B2" s="697"/>
      <c r="C2" s="697"/>
      <c r="D2" s="697"/>
      <c r="E2" s="697"/>
      <c r="F2" s="697"/>
      <c r="G2" s="697"/>
      <c r="H2" s="697"/>
    </row>
    <row r="3" spans="1:8" s="380" customFormat="1" ht="18.75" customHeight="1" x14ac:dyDescent="0.3">
      <c r="A3" s="697"/>
      <c r="B3" s="697"/>
      <c r="C3" s="697"/>
      <c r="D3" s="697"/>
      <c r="E3" s="697"/>
      <c r="F3" s="697"/>
      <c r="G3" s="697"/>
      <c r="H3" s="697"/>
    </row>
    <row r="5" spans="1:8" s="213" customFormat="1" ht="31.5" customHeight="1" x14ac:dyDescent="0.3">
      <c r="A5" s="698" t="s">
        <v>735</v>
      </c>
      <c r="B5" s="698" t="s">
        <v>659</v>
      </c>
      <c r="C5" s="698" t="s">
        <v>660</v>
      </c>
      <c r="D5" s="698" t="s">
        <v>661</v>
      </c>
      <c r="E5" s="698" t="s">
        <v>184</v>
      </c>
      <c r="F5" s="698" t="s">
        <v>599</v>
      </c>
      <c r="G5" s="665" t="s">
        <v>396</v>
      </c>
      <c r="H5" s="667"/>
    </row>
    <row r="6" spans="1:8" s="213" customFormat="1" ht="78" x14ac:dyDescent="0.3">
      <c r="A6" s="699"/>
      <c r="B6" s="699"/>
      <c r="C6" s="699"/>
      <c r="D6" s="699"/>
      <c r="E6" s="699"/>
      <c r="F6" s="699"/>
      <c r="G6" s="366" t="s">
        <v>401</v>
      </c>
      <c r="H6" s="366" t="s">
        <v>402</v>
      </c>
    </row>
    <row r="7" spans="1:8" s="384" customFormat="1" x14ac:dyDescent="0.3">
      <c r="A7" s="382">
        <v>1</v>
      </c>
      <c r="B7" s="383">
        <v>2</v>
      </c>
      <c r="C7" s="382">
        <v>3</v>
      </c>
      <c r="D7" s="383">
        <v>4</v>
      </c>
      <c r="E7" s="382">
        <v>5</v>
      </c>
      <c r="F7" s="383">
        <v>6</v>
      </c>
      <c r="G7" s="382">
        <v>7</v>
      </c>
      <c r="H7" s="383">
        <v>8</v>
      </c>
    </row>
    <row r="8" spans="1:8" ht="28.2" x14ac:dyDescent="0.3">
      <c r="A8" s="397">
        <v>1</v>
      </c>
      <c r="B8" s="398" t="s">
        <v>853</v>
      </c>
      <c r="C8" s="398" t="s">
        <v>854</v>
      </c>
      <c r="D8" s="398" t="s">
        <v>855</v>
      </c>
      <c r="E8" s="397" t="s">
        <v>203</v>
      </c>
      <c r="F8" s="98">
        <v>327549</v>
      </c>
      <c r="G8" s="98">
        <v>327549</v>
      </c>
      <c r="H8" s="98"/>
    </row>
    <row r="9" spans="1:8" ht="69.599999999999994" x14ac:dyDescent="0.3">
      <c r="A9" s="397">
        <v>3</v>
      </c>
      <c r="B9" s="398" t="s">
        <v>856</v>
      </c>
      <c r="C9" s="398" t="s">
        <v>857</v>
      </c>
      <c r="D9" s="398" t="s">
        <v>858</v>
      </c>
      <c r="E9" s="397" t="s">
        <v>203</v>
      </c>
      <c r="F9" s="98">
        <v>24000</v>
      </c>
      <c r="G9" s="98">
        <v>24000</v>
      </c>
      <c r="H9" s="98"/>
    </row>
    <row r="10" spans="1:8" ht="69.599999999999994" x14ac:dyDescent="0.3">
      <c r="A10" s="397">
        <v>4</v>
      </c>
      <c r="B10" s="398" t="s">
        <v>856</v>
      </c>
      <c r="C10" s="398" t="s">
        <v>857</v>
      </c>
      <c r="D10" s="398" t="s">
        <v>859</v>
      </c>
      <c r="E10" s="397" t="s">
        <v>203</v>
      </c>
      <c r="F10" s="98">
        <v>5000</v>
      </c>
      <c r="G10" s="98">
        <v>5000</v>
      </c>
      <c r="H10" s="98"/>
    </row>
    <row r="11" spans="1:8" ht="69.599999999999994" x14ac:dyDescent="0.3">
      <c r="A11" s="397">
        <v>5</v>
      </c>
      <c r="B11" s="398" t="s">
        <v>856</v>
      </c>
      <c r="C11" s="398" t="s">
        <v>857</v>
      </c>
      <c r="D11" s="398" t="s">
        <v>860</v>
      </c>
      <c r="E11" s="397" t="s">
        <v>210</v>
      </c>
      <c r="F11" s="98">
        <v>160000</v>
      </c>
      <c r="G11" s="98">
        <v>160000</v>
      </c>
      <c r="H11" s="98"/>
    </row>
    <row r="12" spans="1:8" x14ac:dyDescent="0.3">
      <c r="A12" s="217"/>
      <c r="B12" s="399"/>
      <c r="C12" s="399"/>
      <c r="D12" s="399"/>
      <c r="E12" s="217"/>
      <c r="F12" s="98"/>
      <c r="G12" s="98"/>
      <c r="H12" s="98"/>
    </row>
    <row r="13" spans="1:8" x14ac:dyDescent="0.3">
      <c r="A13" s="218"/>
      <c r="B13" s="400" t="s">
        <v>385</v>
      </c>
      <c r="C13" s="390"/>
      <c r="D13" s="390"/>
      <c r="E13" s="218"/>
      <c r="F13" s="390">
        <f>SUM(F8:F12)</f>
        <v>516549</v>
      </c>
      <c r="G13" s="390">
        <f t="shared" ref="G13:H13" si="0">SUM(G8:G12)</f>
        <v>516549</v>
      </c>
      <c r="H13" s="390">
        <f t="shared" si="0"/>
        <v>0</v>
      </c>
    </row>
    <row r="14" spans="1:8" s="365" customFormat="1" x14ac:dyDescent="0.3">
      <c r="A14" s="362"/>
      <c r="B14" s="362"/>
      <c r="C14" s="362"/>
      <c r="D14" s="362"/>
      <c r="E14" s="362"/>
      <c r="F14" s="362"/>
      <c r="G14" s="362"/>
      <c r="H14" s="362"/>
    </row>
    <row r="15" spans="1:8" x14ac:dyDescent="0.3">
      <c r="A15" s="394" t="s">
        <v>352</v>
      </c>
      <c r="B15" s="394"/>
      <c r="D15" s="343"/>
      <c r="E15" s="394"/>
      <c r="F15" s="577" t="s">
        <v>810</v>
      </c>
      <c r="G15" s="577"/>
      <c r="H15" s="345"/>
    </row>
    <row r="16" spans="1:8" s="345" customFormat="1" ht="15.75" customHeight="1" x14ac:dyDescent="0.3">
      <c r="A16" s="389"/>
      <c r="B16" s="389"/>
      <c r="C16" s="362"/>
      <c r="D16" s="401" t="s">
        <v>96</v>
      </c>
      <c r="E16" s="389"/>
      <c r="F16" s="579" t="s">
        <v>97</v>
      </c>
      <c r="G16" s="579"/>
      <c r="H16" s="389"/>
    </row>
    <row r="17" spans="1:11" s="389" customFormat="1" ht="15.6" customHeight="1" x14ac:dyDescent="0.25">
      <c r="A17" s="395"/>
      <c r="B17" s="395"/>
      <c r="C17" s="344"/>
      <c r="D17" s="344"/>
      <c r="E17" s="395"/>
      <c r="F17" s="344"/>
      <c r="G17" s="344"/>
      <c r="I17" s="402"/>
    </row>
    <row r="18" spans="1:11" s="389" customFormat="1" x14ac:dyDescent="0.3">
      <c r="A18" s="394" t="s">
        <v>737</v>
      </c>
      <c r="B18" s="394"/>
      <c r="C18" s="362"/>
      <c r="D18" s="343"/>
      <c r="E18" s="394"/>
      <c r="F18" s="577" t="s">
        <v>811</v>
      </c>
      <c r="G18" s="577"/>
      <c r="H18" s="345"/>
      <c r="I18" s="402"/>
    </row>
    <row r="19" spans="1:11" s="345" customFormat="1" ht="15.75" customHeight="1" x14ac:dyDescent="0.3">
      <c r="A19" s="394" t="s">
        <v>736</v>
      </c>
      <c r="B19" s="389"/>
      <c r="C19" s="362"/>
      <c r="D19" s="401" t="s">
        <v>96</v>
      </c>
      <c r="E19" s="389"/>
      <c r="F19" s="579" t="s">
        <v>97</v>
      </c>
      <c r="G19" s="579"/>
      <c r="H19" s="389"/>
    </row>
    <row r="20" spans="1:11" s="389" customFormat="1" ht="15.6" customHeight="1" x14ac:dyDescent="0.25">
      <c r="G20" s="344"/>
      <c r="H20" s="344"/>
    </row>
    <row r="21" spans="1:11" s="389" customFormat="1" x14ac:dyDescent="0.3">
      <c r="A21" s="394" t="s">
        <v>297</v>
      </c>
      <c r="B21" s="394"/>
      <c r="C21" s="577" t="s">
        <v>861</v>
      </c>
      <c r="D21" s="577"/>
      <c r="E21" s="343"/>
      <c r="F21" s="577" t="s">
        <v>862</v>
      </c>
      <c r="G21" s="577"/>
      <c r="H21" s="403" t="s">
        <v>863</v>
      </c>
      <c r="J21" s="344"/>
      <c r="K21" s="344"/>
    </row>
    <row r="22" spans="1:11" s="345" customFormat="1" ht="15.75" customHeight="1" x14ac:dyDescent="0.3">
      <c r="A22" s="389"/>
      <c r="B22" s="389"/>
      <c r="C22" s="579" t="s">
        <v>152</v>
      </c>
      <c r="D22" s="579"/>
      <c r="E22" s="401"/>
      <c r="F22" s="578" t="s">
        <v>97</v>
      </c>
      <c r="G22" s="578"/>
      <c r="H22" s="401" t="s">
        <v>176</v>
      </c>
    </row>
    <row r="23" spans="1:11" s="389" customFormat="1" ht="13.2" customHeight="1" x14ac:dyDescent="0.3">
      <c r="A23" s="362"/>
      <c r="B23" s="362"/>
      <c r="C23" s="362"/>
      <c r="D23" s="362"/>
      <c r="E23" s="362"/>
      <c r="F23" s="362"/>
      <c r="G23" s="362"/>
      <c r="H23" s="362"/>
    </row>
  </sheetData>
  <mergeCells count="17">
    <mergeCell ref="A1:H1"/>
    <mergeCell ref="A2:H3"/>
    <mergeCell ref="F5:F6"/>
    <mergeCell ref="G5:H5"/>
    <mergeCell ref="A5:A6"/>
    <mergeCell ref="B5:B6"/>
    <mergeCell ref="C5:C6"/>
    <mergeCell ref="D5:D6"/>
    <mergeCell ref="E5:E6"/>
    <mergeCell ref="F16:G16"/>
    <mergeCell ref="F15:G15"/>
    <mergeCell ref="C22:D22"/>
    <mergeCell ref="F19:G19"/>
    <mergeCell ref="F22:G22"/>
    <mergeCell ref="F18:G18"/>
    <mergeCell ref="C21:D21"/>
    <mergeCell ref="F21:G21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0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="80" zoomScaleNormal="80" workbookViewId="0">
      <selection activeCell="A4" sqref="A4"/>
    </sheetView>
  </sheetViews>
  <sheetFormatPr defaultColWidth="9.109375" defaultRowHeight="15.6" x14ac:dyDescent="0.3"/>
  <cols>
    <col min="1" max="1" width="9" style="362" customWidth="1"/>
    <col min="2" max="2" width="45.6640625" style="362" customWidth="1"/>
    <col min="3" max="3" width="12.33203125" style="362" customWidth="1"/>
    <col min="4" max="6" width="15.6640625" style="362" customWidth="1"/>
    <col min="7" max="7" width="18.109375" style="362" customWidth="1"/>
    <col min="8" max="16384" width="9.109375" style="362"/>
  </cols>
  <sheetData>
    <row r="1" spans="1:7" s="380" customFormat="1" ht="17.399999999999999" x14ac:dyDescent="0.3">
      <c r="A1" s="696" t="s">
        <v>741</v>
      </c>
      <c r="B1" s="696"/>
      <c r="C1" s="696"/>
      <c r="D1" s="696"/>
      <c r="E1" s="696"/>
      <c r="F1" s="696"/>
      <c r="G1" s="696"/>
    </row>
    <row r="2" spans="1:7" s="380" customFormat="1" x14ac:dyDescent="0.3">
      <c r="A2" s="697" t="str">
        <f>'Заголовочная часть'!B14</f>
        <v>Областное государственное бюджетное профессиональное образовательное учреждение "Костромской автодорожный колледж"</v>
      </c>
      <c r="B2" s="697"/>
      <c r="C2" s="697"/>
      <c r="D2" s="697"/>
      <c r="E2" s="697"/>
      <c r="F2" s="697"/>
      <c r="G2" s="697"/>
    </row>
    <row r="3" spans="1:7" s="380" customFormat="1" x14ac:dyDescent="0.3">
      <c r="A3" s="697"/>
      <c r="B3" s="697"/>
      <c r="C3" s="697"/>
      <c r="D3" s="697"/>
      <c r="E3" s="697"/>
      <c r="F3" s="697"/>
      <c r="G3" s="697"/>
    </row>
    <row r="4" spans="1:7" x14ac:dyDescent="0.3">
      <c r="C4" s="381"/>
    </row>
    <row r="5" spans="1:7" s="213" customFormat="1" x14ac:dyDescent="0.3">
      <c r="A5" s="640" t="s">
        <v>738</v>
      </c>
      <c r="B5" s="640" t="s">
        <v>662</v>
      </c>
      <c r="C5" s="698" t="s">
        <v>184</v>
      </c>
      <c r="D5" s="640" t="s">
        <v>740</v>
      </c>
      <c r="E5" s="689" t="s">
        <v>396</v>
      </c>
      <c r="F5" s="689"/>
      <c r="G5" s="698" t="s">
        <v>739</v>
      </c>
    </row>
    <row r="6" spans="1:7" s="213" customFormat="1" ht="78" x14ac:dyDescent="0.3">
      <c r="A6" s="640"/>
      <c r="B6" s="640"/>
      <c r="C6" s="699"/>
      <c r="D6" s="640"/>
      <c r="E6" s="366" t="s">
        <v>401</v>
      </c>
      <c r="F6" s="366" t="s">
        <v>402</v>
      </c>
      <c r="G6" s="699"/>
    </row>
    <row r="7" spans="1:7" s="384" customFormat="1" x14ac:dyDescent="0.3">
      <c r="A7" s="382">
        <v>1</v>
      </c>
      <c r="B7" s="383">
        <v>2</v>
      </c>
      <c r="C7" s="382">
        <v>3</v>
      </c>
      <c r="D7" s="383">
        <v>4</v>
      </c>
      <c r="E7" s="382">
        <v>5</v>
      </c>
      <c r="F7" s="383">
        <v>6</v>
      </c>
      <c r="G7" s="382">
        <v>7</v>
      </c>
    </row>
    <row r="8" spans="1:7" ht="31.2" x14ac:dyDescent="0.3">
      <c r="A8" s="385">
        <v>1</v>
      </c>
      <c r="B8" s="386" t="s">
        <v>864</v>
      </c>
      <c r="C8" s="387">
        <v>225</v>
      </c>
      <c r="D8" s="98">
        <v>1141393</v>
      </c>
      <c r="E8" s="98">
        <v>1141393</v>
      </c>
      <c r="F8" s="98"/>
      <c r="G8" s="388" t="s">
        <v>865</v>
      </c>
    </row>
    <row r="9" spans="1:7" ht="31.2" x14ac:dyDescent="0.3">
      <c r="A9" s="385">
        <v>2</v>
      </c>
      <c r="B9" s="386" t="s">
        <v>866</v>
      </c>
      <c r="C9" s="387">
        <v>225</v>
      </c>
      <c r="D9" s="98">
        <v>159639</v>
      </c>
      <c r="E9" s="98">
        <v>159639</v>
      </c>
      <c r="F9" s="98"/>
      <c r="G9" s="388" t="s">
        <v>865</v>
      </c>
    </row>
    <row r="10" spans="1:7" ht="46.8" x14ac:dyDescent="0.3">
      <c r="A10" s="385">
        <v>3</v>
      </c>
      <c r="B10" s="386" t="s">
        <v>867</v>
      </c>
      <c r="C10" s="387">
        <v>225</v>
      </c>
      <c r="D10" s="98">
        <v>53266</v>
      </c>
      <c r="E10" s="98">
        <v>43266</v>
      </c>
      <c r="F10" s="98">
        <v>10000</v>
      </c>
      <c r="G10" s="388" t="s">
        <v>865</v>
      </c>
    </row>
    <row r="11" spans="1:7" ht="31.2" x14ac:dyDescent="0.3">
      <c r="A11" s="385">
        <v>4</v>
      </c>
      <c r="B11" s="386" t="s">
        <v>868</v>
      </c>
      <c r="C11" s="387">
        <v>225</v>
      </c>
      <c r="D11" s="98">
        <v>220000</v>
      </c>
      <c r="E11" s="98">
        <v>200000</v>
      </c>
      <c r="F11" s="98">
        <v>20000</v>
      </c>
      <c r="G11" s="388" t="s">
        <v>865</v>
      </c>
    </row>
    <row r="12" spans="1:7" ht="31.2" x14ac:dyDescent="0.3">
      <c r="A12" s="385">
        <v>5</v>
      </c>
      <c r="B12" s="386" t="s">
        <v>869</v>
      </c>
      <c r="C12" s="387">
        <v>225</v>
      </c>
      <c r="D12" s="98">
        <v>228000</v>
      </c>
      <c r="E12" s="98">
        <v>228000</v>
      </c>
      <c r="F12" s="98"/>
      <c r="G12" s="388" t="s">
        <v>865</v>
      </c>
    </row>
    <row r="13" spans="1:7" ht="46.8" x14ac:dyDescent="0.3">
      <c r="A13" s="385">
        <v>6</v>
      </c>
      <c r="B13" s="386" t="s">
        <v>870</v>
      </c>
      <c r="C13" s="387">
        <v>225</v>
      </c>
      <c r="D13" s="98">
        <v>38000</v>
      </c>
      <c r="E13" s="98">
        <v>38000</v>
      </c>
      <c r="F13" s="98"/>
      <c r="G13" s="388" t="s">
        <v>865</v>
      </c>
    </row>
    <row r="14" spans="1:7" s="365" customFormat="1" ht="46.8" x14ac:dyDescent="0.3">
      <c r="A14" s="385">
        <v>7</v>
      </c>
      <c r="B14" s="386" t="s">
        <v>871</v>
      </c>
      <c r="C14" s="387">
        <v>225</v>
      </c>
      <c r="D14" s="98">
        <v>17825</v>
      </c>
      <c r="E14" s="98">
        <v>17825</v>
      </c>
      <c r="F14" s="98"/>
      <c r="G14" s="388" t="s">
        <v>865</v>
      </c>
    </row>
    <row r="15" spans="1:7" ht="46.8" x14ac:dyDescent="0.3">
      <c r="A15" s="385">
        <v>8</v>
      </c>
      <c r="B15" s="386" t="s">
        <v>872</v>
      </c>
      <c r="C15" s="387">
        <v>225</v>
      </c>
      <c r="D15" s="98">
        <v>589225</v>
      </c>
      <c r="E15" s="98">
        <v>589225</v>
      </c>
      <c r="F15" s="98"/>
      <c r="G15" s="388" t="s">
        <v>865</v>
      </c>
    </row>
    <row r="16" spans="1:7" s="345" customFormat="1" ht="62.4" x14ac:dyDescent="0.3">
      <c r="A16" s="385">
        <v>11</v>
      </c>
      <c r="B16" s="386" t="s">
        <v>873</v>
      </c>
      <c r="C16" s="387">
        <v>225</v>
      </c>
      <c r="D16" s="98">
        <v>12000</v>
      </c>
      <c r="E16" s="98">
        <v>12000</v>
      </c>
      <c r="F16" s="98"/>
      <c r="G16" s="388" t="s">
        <v>865</v>
      </c>
    </row>
    <row r="17" spans="1:9" s="389" customFormat="1" ht="46.8" x14ac:dyDescent="0.3">
      <c r="A17" s="385">
        <v>12</v>
      </c>
      <c r="B17" s="386" t="s">
        <v>874</v>
      </c>
      <c r="C17" s="387" t="s">
        <v>210</v>
      </c>
      <c r="D17" s="98">
        <v>210000</v>
      </c>
      <c r="E17" s="98">
        <v>210000</v>
      </c>
      <c r="F17" s="98"/>
      <c r="G17" s="388" t="s">
        <v>865</v>
      </c>
    </row>
    <row r="18" spans="1:9" s="389" customFormat="1" ht="46.8" x14ac:dyDescent="0.3">
      <c r="A18" s="385">
        <v>13</v>
      </c>
      <c r="B18" s="386" t="s">
        <v>875</v>
      </c>
      <c r="C18" s="387">
        <v>225</v>
      </c>
      <c r="D18" s="98">
        <v>22225</v>
      </c>
      <c r="E18" s="98">
        <v>22225</v>
      </c>
      <c r="F18" s="98"/>
      <c r="G18" s="388" t="s">
        <v>865</v>
      </c>
    </row>
    <row r="19" spans="1:9" s="345" customFormat="1" ht="31.2" x14ac:dyDescent="0.3">
      <c r="A19" s="385">
        <v>14</v>
      </c>
      <c r="B19" s="386" t="s">
        <v>876</v>
      </c>
      <c r="C19" s="387">
        <v>225</v>
      </c>
      <c r="D19" s="98">
        <v>45825</v>
      </c>
      <c r="E19" s="98">
        <v>45825</v>
      </c>
      <c r="F19" s="98"/>
      <c r="G19" s="388" t="s">
        <v>865</v>
      </c>
    </row>
    <row r="20" spans="1:9" s="389" customFormat="1" ht="46.8" x14ac:dyDescent="0.3">
      <c r="A20" s="385">
        <v>15</v>
      </c>
      <c r="B20" s="386" t="s">
        <v>877</v>
      </c>
      <c r="C20" s="387">
        <v>225</v>
      </c>
      <c r="D20" s="98">
        <v>151200</v>
      </c>
      <c r="E20" s="98">
        <v>151200</v>
      </c>
      <c r="F20" s="98"/>
      <c r="G20" s="388" t="s">
        <v>865</v>
      </c>
    </row>
    <row r="21" spans="1:9" s="389" customFormat="1" ht="31.2" x14ac:dyDescent="0.3">
      <c r="A21" s="385">
        <v>16</v>
      </c>
      <c r="B21" s="386" t="s">
        <v>878</v>
      </c>
      <c r="C21" s="387">
        <v>225</v>
      </c>
      <c r="D21" s="98">
        <v>1400000</v>
      </c>
      <c r="E21" s="98">
        <v>1400000</v>
      </c>
      <c r="F21" s="98"/>
      <c r="G21" s="388" t="s">
        <v>865</v>
      </c>
      <c r="H21" s="344"/>
      <c r="I21" s="344"/>
    </row>
    <row r="22" spans="1:9" s="345" customFormat="1" ht="31.2" x14ac:dyDescent="0.3">
      <c r="A22" s="385">
        <v>17</v>
      </c>
      <c r="B22" s="386" t="s">
        <v>879</v>
      </c>
      <c r="C22" s="387">
        <v>225</v>
      </c>
      <c r="D22" s="98">
        <v>150000</v>
      </c>
      <c r="E22" s="98">
        <v>150000</v>
      </c>
      <c r="F22" s="98"/>
      <c r="G22" s="388" t="s">
        <v>865</v>
      </c>
    </row>
    <row r="23" spans="1:9" s="389" customFormat="1" x14ac:dyDescent="0.3">
      <c r="A23" s="385">
        <v>18</v>
      </c>
      <c r="B23" s="324" t="s">
        <v>880</v>
      </c>
      <c r="C23" s="387" t="s">
        <v>210</v>
      </c>
      <c r="D23" s="98">
        <v>1231180</v>
      </c>
      <c r="E23" s="98">
        <v>1231180</v>
      </c>
      <c r="F23" s="98"/>
      <c r="G23" s="388"/>
    </row>
    <row r="24" spans="1:9" x14ac:dyDescent="0.3">
      <c r="A24" s="385">
        <v>19</v>
      </c>
      <c r="B24" s="324" t="s">
        <v>881</v>
      </c>
      <c r="C24" s="387" t="s">
        <v>210</v>
      </c>
      <c r="D24" s="98">
        <v>200000</v>
      </c>
      <c r="E24" s="98"/>
      <c r="F24" s="98">
        <v>200000</v>
      </c>
      <c r="G24" s="388"/>
    </row>
    <row r="25" spans="1:9" x14ac:dyDescent="0.3">
      <c r="A25" s="385">
        <v>17</v>
      </c>
      <c r="B25" s="386" t="s">
        <v>882</v>
      </c>
      <c r="C25" s="387"/>
      <c r="D25" s="101">
        <f>SUM(D8:D24)</f>
        <v>5869778</v>
      </c>
      <c r="E25" s="101">
        <f t="shared" ref="E25:F25" si="0">SUM(E8:E24)</f>
        <v>5639778</v>
      </c>
      <c r="F25" s="101">
        <f t="shared" si="0"/>
        <v>230000</v>
      </c>
      <c r="G25" s="388"/>
    </row>
    <row r="26" spans="1:9" x14ac:dyDescent="0.3">
      <c r="A26" s="391"/>
      <c r="B26" s="392"/>
      <c r="C26" s="404"/>
      <c r="D26" s="391"/>
      <c r="E26" s="393"/>
      <c r="F26" s="405"/>
      <c r="G26" s="406"/>
    </row>
    <row r="27" spans="1:9" x14ac:dyDescent="0.3">
      <c r="A27" s="394" t="s">
        <v>352</v>
      </c>
      <c r="B27" s="394"/>
      <c r="C27" s="577"/>
      <c r="D27" s="577"/>
      <c r="E27" s="345"/>
      <c r="F27" s="577" t="s">
        <v>810</v>
      </c>
      <c r="G27" s="577"/>
    </row>
    <row r="28" spans="1:9" x14ac:dyDescent="0.3">
      <c r="A28" s="389"/>
      <c r="B28" s="389"/>
      <c r="C28" s="579" t="s">
        <v>96</v>
      </c>
      <c r="D28" s="579"/>
      <c r="E28" s="389"/>
      <c r="F28" s="579" t="s">
        <v>97</v>
      </c>
      <c r="G28" s="579"/>
    </row>
    <row r="29" spans="1:9" x14ac:dyDescent="0.3">
      <c r="A29" s="395"/>
      <c r="B29" s="395"/>
      <c r="C29" s="344"/>
      <c r="D29" s="389"/>
      <c r="E29" s="389"/>
      <c r="F29" s="344"/>
      <c r="G29" s="344"/>
    </row>
    <row r="30" spans="1:9" x14ac:dyDescent="0.3">
      <c r="A30" s="394" t="s">
        <v>737</v>
      </c>
      <c r="B30" s="394"/>
      <c r="C30" s="577"/>
      <c r="D30" s="577"/>
      <c r="E30" s="345"/>
      <c r="F30" s="577" t="s">
        <v>811</v>
      </c>
      <c r="G30" s="577"/>
    </row>
    <row r="31" spans="1:9" x14ac:dyDescent="0.3">
      <c r="A31" s="394" t="s">
        <v>736</v>
      </c>
      <c r="B31" s="389"/>
      <c r="C31" s="579" t="s">
        <v>96</v>
      </c>
      <c r="D31" s="579"/>
      <c r="E31" s="389"/>
      <c r="F31" s="579" t="s">
        <v>97</v>
      </c>
      <c r="G31" s="579"/>
    </row>
    <row r="32" spans="1:9" x14ac:dyDescent="0.3">
      <c r="A32" s="389"/>
      <c r="B32" s="389"/>
      <c r="C32" s="396"/>
      <c r="D32" s="389"/>
      <c r="E32" s="344"/>
      <c r="F32" s="344"/>
      <c r="G32" s="389"/>
    </row>
    <row r="33" spans="1:7" x14ac:dyDescent="0.3">
      <c r="A33" s="394" t="s">
        <v>297</v>
      </c>
      <c r="B33" s="394"/>
      <c r="C33" s="577" t="s">
        <v>861</v>
      </c>
      <c r="D33" s="577"/>
      <c r="E33" s="343"/>
      <c r="F33" s="577" t="s">
        <v>862</v>
      </c>
      <c r="G33" s="577"/>
    </row>
    <row r="34" spans="1:7" x14ac:dyDescent="0.3">
      <c r="A34" s="389"/>
      <c r="B34" s="389"/>
      <c r="C34" s="579" t="s">
        <v>152</v>
      </c>
      <c r="D34" s="579"/>
      <c r="E34" s="578" t="s">
        <v>96</v>
      </c>
      <c r="F34" s="578"/>
      <c r="G34" s="344"/>
    </row>
  </sheetData>
  <mergeCells count="20">
    <mergeCell ref="C31:D31"/>
    <mergeCell ref="F31:G31"/>
    <mergeCell ref="C33:D33"/>
    <mergeCell ref="F33:G33"/>
    <mergeCell ref="C34:D34"/>
    <mergeCell ref="E34:F34"/>
    <mergeCell ref="C27:D27"/>
    <mergeCell ref="F27:G27"/>
    <mergeCell ref="C28:D28"/>
    <mergeCell ref="F28:G28"/>
    <mergeCell ref="C30:D30"/>
    <mergeCell ref="F30:G30"/>
    <mergeCell ref="A1:G1"/>
    <mergeCell ref="A2:G3"/>
    <mergeCell ref="A5:A6"/>
    <mergeCell ref="B5:B6"/>
    <mergeCell ref="C5:C6"/>
    <mergeCell ref="G5:G6"/>
    <mergeCell ref="D5:D6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opLeftCell="A28" zoomScale="70" zoomScaleNormal="70" workbookViewId="0">
      <selection activeCell="R51" sqref="R51"/>
    </sheetView>
  </sheetViews>
  <sheetFormatPr defaultColWidth="9.109375" defaultRowHeight="15.6" x14ac:dyDescent="0.3"/>
  <cols>
    <col min="1" max="1" width="70.6640625" style="12" customWidth="1"/>
    <col min="2" max="2" width="5.88671875" style="1" customWidth="1"/>
    <col min="3" max="3" width="12.88671875" style="1" customWidth="1"/>
    <col min="4" max="5" width="16.88671875" style="1" customWidth="1"/>
    <col min="6" max="7" width="15.6640625" style="1" customWidth="1"/>
    <col min="8" max="8" width="16.88671875" style="1" customWidth="1"/>
    <col min="9" max="9" width="15.6640625" style="1" customWidth="1"/>
    <col min="10" max="16384" width="9.109375" style="57"/>
  </cols>
  <sheetData>
    <row r="1" spans="1:9" x14ac:dyDescent="0.3">
      <c r="I1" s="2" t="s">
        <v>20</v>
      </c>
    </row>
    <row r="2" spans="1:9" ht="17.399999999999999" x14ac:dyDescent="0.3">
      <c r="A2" s="520" t="s">
        <v>248</v>
      </c>
      <c r="B2" s="520"/>
      <c r="C2" s="520"/>
      <c r="D2" s="520"/>
      <c r="E2" s="520"/>
      <c r="F2" s="520"/>
      <c r="G2" s="520"/>
      <c r="H2" s="520"/>
      <c r="I2" s="520"/>
    </row>
    <row r="3" spans="1:9" ht="18.75" customHeight="1" x14ac:dyDescent="0.3">
      <c r="A3" s="523" t="str">
        <f>'Заголовочная часть'!B14</f>
        <v>Областное государственное бюджетное профессиональное образовательное учреждение "Костромской автодорожный колледж"</v>
      </c>
      <c r="B3" s="523"/>
      <c r="C3" s="523"/>
      <c r="D3" s="523"/>
      <c r="E3" s="523"/>
      <c r="F3" s="523"/>
      <c r="G3" s="523"/>
      <c r="H3" s="523"/>
      <c r="I3" s="523"/>
    </row>
    <row r="4" spans="1:9" ht="18.75" customHeight="1" x14ac:dyDescent="0.3">
      <c r="A4" s="523"/>
      <c r="B4" s="523"/>
      <c r="C4" s="523"/>
      <c r="D4" s="523"/>
      <c r="E4" s="523"/>
      <c r="F4" s="523"/>
      <c r="G4" s="523"/>
      <c r="H4" s="523"/>
      <c r="I4" s="523"/>
    </row>
    <row r="5" spans="1:9" ht="17.399999999999999" x14ac:dyDescent="0.3">
      <c r="A5" s="520" t="s">
        <v>156</v>
      </c>
      <c r="B5" s="520"/>
      <c r="C5" s="520"/>
      <c r="D5" s="520"/>
      <c r="E5" s="520"/>
      <c r="F5" s="520"/>
      <c r="G5" s="520"/>
      <c r="H5" s="520"/>
      <c r="I5" s="520"/>
    </row>
    <row r="7" spans="1:9" s="58" customFormat="1" x14ac:dyDescent="0.3">
      <c r="A7" s="522" t="s">
        <v>2</v>
      </c>
      <c r="B7" s="522" t="s">
        <v>52</v>
      </c>
      <c r="C7" s="522" t="s">
        <v>53</v>
      </c>
      <c r="D7" s="521" t="s">
        <v>21</v>
      </c>
      <c r="E7" s="521"/>
      <c r="F7" s="521"/>
      <c r="G7" s="521"/>
      <c r="H7" s="521"/>
      <c r="I7" s="521"/>
    </row>
    <row r="8" spans="1:9" s="58" customFormat="1" x14ac:dyDescent="0.3">
      <c r="A8" s="522"/>
      <c r="B8" s="522"/>
      <c r="C8" s="522"/>
      <c r="D8" s="522" t="s">
        <v>22</v>
      </c>
      <c r="E8" s="521" t="s">
        <v>6</v>
      </c>
      <c r="F8" s="521"/>
      <c r="G8" s="521"/>
      <c r="H8" s="521"/>
      <c r="I8" s="521"/>
    </row>
    <row r="9" spans="1:9" s="58" customFormat="1" ht="148.5" customHeight="1" x14ac:dyDescent="0.3">
      <c r="A9" s="522"/>
      <c r="B9" s="522"/>
      <c r="C9" s="522"/>
      <c r="D9" s="522"/>
      <c r="E9" s="522" t="s">
        <v>372</v>
      </c>
      <c r="F9" s="522" t="s">
        <v>54</v>
      </c>
      <c r="G9" s="522" t="s">
        <v>55</v>
      </c>
      <c r="H9" s="522" t="s">
        <v>56</v>
      </c>
      <c r="I9" s="522"/>
    </row>
    <row r="10" spans="1:9" s="58" customFormat="1" ht="51.75" customHeight="1" x14ac:dyDescent="0.3">
      <c r="A10" s="522"/>
      <c r="B10" s="522"/>
      <c r="C10" s="522"/>
      <c r="D10" s="522"/>
      <c r="E10" s="522"/>
      <c r="F10" s="522"/>
      <c r="G10" s="522"/>
      <c r="H10" s="165" t="s">
        <v>22</v>
      </c>
      <c r="I10" s="165" t="s">
        <v>57</v>
      </c>
    </row>
    <row r="11" spans="1:9" s="58" customFormat="1" ht="16.2" thickBot="1" x14ac:dyDescent="0.35">
      <c r="A11" s="157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9</v>
      </c>
      <c r="I11" s="166">
        <v>10</v>
      </c>
    </row>
    <row r="12" spans="1:9" s="58" customFormat="1" x14ac:dyDescent="0.3">
      <c r="A12" s="16" t="s">
        <v>58</v>
      </c>
      <c r="B12" s="19" t="s">
        <v>23</v>
      </c>
      <c r="C12" s="20" t="s">
        <v>24</v>
      </c>
      <c r="D12" s="96">
        <f>SUM(D13:D19)</f>
        <v>49173616.619999997</v>
      </c>
      <c r="E12" s="96">
        <f t="shared" ref="E12:I12" si="0">SUM(E13:E19)</f>
        <v>34369443.479999997</v>
      </c>
      <c r="F12" s="96">
        <f t="shared" si="0"/>
        <v>4006762.72</v>
      </c>
      <c r="G12" s="96">
        <f t="shared" si="0"/>
        <v>0</v>
      </c>
      <c r="H12" s="96">
        <f t="shared" si="0"/>
        <v>10797410.42</v>
      </c>
      <c r="I12" s="97">
        <f t="shared" si="0"/>
        <v>0</v>
      </c>
    </row>
    <row r="13" spans="1:9" ht="31.2" x14ac:dyDescent="0.3">
      <c r="A13" s="17" t="s">
        <v>59</v>
      </c>
      <c r="B13" s="21" t="s">
        <v>25</v>
      </c>
      <c r="C13" s="13" t="s">
        <v>26</v>
      </c>
      <c r="D13" s="101">
        <f>H13</f>
        <v>392300</v>
      </c>
      <c r="E13" s="15" t="s">
        <v>24</v>
      </c>
      <c r="F13" s="15" t="s">
        <v>24</v>
      </c>
      <c r="G13" s="15" t="s">
        <v>24</v>
      </c>
      <c r="H13" s="99">
        <v>392300</v>
      </c>
      <c r="I13" s="22" t="s">
        <v>24</v>
      </c>
    </row>
    <row r="14" spans="1:9" x14ac:dyDescent="0.3">
      <c r="A14" s="17" t="s">
        <v>60</v>
      </c>
      <c r="B14" s="21" t="s">
        <v>26</v>
      </c>
      <c r="C14" s="13" t="s">
        <v>27</v>
      </c>
      <c r="D14" s="101">
        <f>E14+H14</f>
        <v>44749553.899999999</v>
      </c>
      <c r="E14" s="99">
        <v>34369443.479999997</v>
      </c>
      <c r="F14" s="15" t="s">
        <v>24</v>
      </c>
      <c r="G14" s="15" t="s">
        <v>24</v>
      </c>
      <c r="H14" s="99">
        <v>10380110.42</v>
      </c>
      <c r="I14" s="22" t="s">
        <v>24</v>
      </c>
    </row>
    <row r="15" spans="1:9" x14ac:dyDescent="0.3">
      <c r="A15" s="17" t="s">
        <v>61</v>
      </c>
      <c r="B15" s="21" t="s">
        <v>27</v>
      </c>
      <c r="C15" s="13" t="s">
        <v>28</v>
      </c>
      <c r="D15" s="101">
        <f>H15</f>
        <v>0</v>
      </c>
      <c r="E15" s="15" t="s">
        <v>24</v>
      </c>
      <c r="F15" s="15" t="s">
        <v>24</v>
      </c>
      <c r="G15" s="15" t="s">
        <v>24</v>
      </c>
      <c r="H15" s="99"/>
      <c r="I15" s="22" t="s">
        <v>24</v>
      </c>
    </row>
    <row r="16" spans="1:9" ht="46.8" x14ac:dyDescent="0.3">
      <c r="A16" s="17" t="s">
        <v>62</v>
      </c>
      <c r="B16" s="21" t="s">
        <v>28</v>
      </c>
      <c r="C16" s="13" t="s">
        <v>29</v>
      </c>
      <c r="D16" s="101">
        <f>-H16</f>
        <v>0</v>
      </c>
      <c r="E16" s="15" t="s">
        <v>24</v>
      </c>
      <c r="F16" s="15" t="s">
        <v>24</v>
      </c>
      <c r="G16" s="15" t="s">
        <v>24</v>
      </c>
      <c r="H16" s="99"/>
      <c r="I16" s="22" t="s">
        <v>24</v>
      </c>
    </row>
    <row r="17" spans="1:9" x14ac:dyDescent="0.3">
      <c r="A17" s="17" t="s">
        <v>63</v>
      </c>
      <c r="B17" s="21" t="s">
        <v>29</v>
      </c>
      <c r="C17" s="13" t="s">
        <v>32</v>
      </c>
      <c r="D17" s="101">
        <f>F17+G17</f>
        <v>4006762.72</v>
      </c>
      <c r="E17" s="15" t="s">
        <v>24</v>
      </c>
      <c r="F17" s="99">
        <v>4006762.72</v>
      </c>
      <c r="G17" s="99"/>
      <c r="H17" s="15" t="s">
        <v>24</v>
      </c>
      <c r="I17" s="22" t="s">
        <v>24</v>
      </c>
    </row>
    <row r="18" spans="1:9" x14ac:dyDescent="0.3">
      <c r="A18" s="17" t="s">
        <v>30</v>
      </c>
      <c r="B18" s="21" t="s">
        <v>31</v>
      </c>
      <c r="C18" s="13" t="s">
        <v>32</v>
      </c>
      <c r="D18" s="101">
        <f>H18</f>
        <v>20000</v>
      </c>
      <c r="E18" s="15" t="s">
        <v>24</v>
      </c>
      <c r="F18" s="15" t="s">
        <v>24</v>
      </c>
      <c r="G18" s="15" t="s">
        <v>24</v>
      </c>
      <c r="H18" s="99">
        <v>20000</v>
      </c>
      <c r="I18" s="107"/>
    </row>
    <row r="19" spans="1:9" x14ac:dyDescent="0.3">
      <c r="A19" s="17" t="s">
        <v>64</v>
      </c>
      <c r="B19" s="21" t="s">
        <v>32</v>
      </c>
      <c r="C19" s="13" t="s">
        <v>24</v>
      </c>
      <c r="D19" s="101">
        <f>H19</f>
        <v>5000</v>
      </c>
      <c r="E19" s="15" t="s">
        <v>24</v>
      </c>
      <c r="F19" s="15" t="s">
        <v>24</v>
      </c>
      <c r="G19" s="15" t="s">
        <v>24</v>
      </c>
      <c r="H19" s="99">
        <v>5000</v>
      </c>
      <c r="I19" s="22" t="s">
        <v>24</v>
      </c>
    </row>
    <row r="20" spans="1:9" s="58" customFormat="1" x14ac:dyDescent="0.3">
      <c r="A20" s="16" t="s">
        <v>33</v>
      </c>
      <c r="B20" s="23" t="s">
        <v>34</v>
      </c>
      <c r="C20" s="13" t="s">
        <v>229</v>
      </c>
      <c r="D20" s="101">
        <f>D21+D26+D30+D37+D49</f>
        <v>49426232.270000003</v>
      </c>
      <c r="E20" s="101">
        <f>E21+E26+E30+E37+E49</f>
        <v>34374938.100000001</v>
      </c>
      <c r="F20" s="101">
        <f>F21+F26+F30+F37+F49</f>
        <v>4006762.72</v>
      </c>
      <c r="G20" s="101">
        <f>G21+G26+G30+G37+G49+G35</f>
        <v>0</v>
      </c>
      <c r="H20" s="101">
        <f>H21+H26+H30+H37+H49</f>
        <v>11044531.449999999</v>
      </c>
      <c r="I20" s="102">
        <f>I21+I26+I30+I37+I49</f>
        <v>0</v>
      </c>
    </row>
    <row r="21" spans="1:9" s="85" customFormat="1" ht="32.4" x14ac:dyDescent="0.35">
      <c r="A21" s="90" t="s">
        <v>65</v>
      </c>
      <c r="B21" s="91" t="s">
        <v>35</v>
      </c>
      <c r="C21" s="92" t="s">
        <v>23</v>
      </c>
      <c r="D21" s="103">
        <f>SUM(D22:D25)</f>
        <v>24720500.469999999</v>
      </c>
      <c r="E21" s="103">
        <f t="shared" ref="E21:I21" si="1">SUM(E22:E25)</f>
        <v>18359106</v>
      </c>
      <c r="F21" s="103">
        <f t="shared" si="1"/>
        <v>0</v>
      </c>
      <c r="G21" s="103">
        <f t="shared" si="1"/>
        <v>0</v>
      </c>
      <c r="H21" s="103">
        <f t="shared" si="1"/>
        <v>6361394.4699999997</v>
      </c>
      <c r="I21" s="104">
        <f t="shared" si="1"/>
        <v>0</v>
      </c>
    </row>
    <row r="22" spans="1:9" ht="31.2" x14ac:dyDescent="0.3">
      <c r="A22" s="89" t="s">
        <v>254</v>
      </c>
      <c r="B22" s="21" t="s">
        <v>36</v>
      </c>
      <c r="C22" s="13" t="s">
        <v>249</v>
      </c>
      <c r="D22" s="101">
        <f>E22+F22+G22+H22</f>
        <v>18958383.370000001</v>
      </c>
      <c r="E22" s="98">
        <v>14090034.5</v>
      </c>
      <c r="F22" s="98"/>
      <c r="G22" s="98"/>
      <c r="H22" s="98">
        <v>4868348.87</v>
      </c>
      <c r="I22" s="100"/>
    </row>
    <row r="23" spans="1:9" ht="31.2" x14ac:dyDescent="0.3">
      <c r="A23" s="89" t="s">
        <v>253</v>
      </c>
      <c r="B23" s="21" t="s">
        <v>255</v>
      </c>
      <c r="C23" s="13" t="s">
        <v>250</v>
      </c>
      <c r="D23" s="101">
        <f t="shared" ref="D23:D25" si="2">E23+F23+G23+H23</f>
        <v>39521.81</v>
      </c>
      <c r="E23" s="98">
        <v>13881</v>
      </c>
      <c r="F23" s="98"/>
      <c r="G23" s="98"/>
      <c r="H23" s="98">
        <v>25640.81</v>
      </c>
      <c r="I23" s="100"/>
    </row>
    <row r="24" spans="1:9" ht="46.8" x14ac:dyDescent="0.3">
      <c r="A24" s="89" t="s">
        <v>258</v>
      </c>
      <c r="B24" s="21" t="s">
        <v>256</v>
      </c>
      <c r="C24" s="13" t="s">
        <v>251</v>
      </c>
      <c r="D24" s="101">
        <f t="shared" si="2"/>
        <v>0</v>
      </c>
      <c r="E24" s="98"/>
      <c r="F24" s="98"/>
      <c r="G24" s="98"/>
      <c r="H24" s="98"/>
      <c r="I24" s="100"/>
    </row>
    <row r="25" spans="1:9" ht="31.2" x14ac:dyDescent="0.3">
      <c r="A25" s="89" t="s">
        <v>259</v>
      </c>
      <c r="B25" s="21" t="s">
        <v>257</v>
      </c>
      <c r="C25" s="13" t="s">
        <v>252</v>
      </c>
      <c r="D25" s="101">
        <f t="shared" si="2"/>
        <v>5722595.29</v>
      </c>
      <c r="E25" s="98">
        <v>4255190.5</v>
      </c>
      <c r="F25" s="98"/>
      <c r="G25" s="98"/>
      <c r="H25" s="98">
        <v>1467404.79</v>
      </c>
      <c r="I25" s="100"/>
    </row>
    <row r="26" spans="1:9" s="85" customFormat="1" ht="16.2" x14ac:dyDescent="0.35">
      <c r="A26" s="90" t="s">
        <v>260</v>
      </c>
      <c r="B26" s="91" t="s">
        <v>37</v>
      </c>
      <c r="C26" s="92" t="s">
        <v>42</v>
      </c>
      <c r="D26" s="335">
        <f>SUM(D27:D29)</f>
        <v>3083868.7</v>
      </c>
      <c r="E26" s="103">
        <f t="shared" ref="E26:I26" si="3">SUM(E27:E29)</f>
        <v>0</v>
      </c>
      <c r="F26" s="103">
        <f t="shared" si="3"/>
        <v>3083868.7</v>
      </c>
      <c r="G26" s="103">
        <f t="shared" si="3"/>
        <v>0</v>
      </c>
      <c r="H26" s="103">
        <f t="shared" si="3"/>
        <v>0</v>
      </c>
      <c r="I26" s="104">
        <f t="shared" si="3"/>
        <v>0</v>
      </c>
    </row>
    <row r="27" spans="1:9" ht="46.8" x14ac:dyDescent="0.3">
      <c r="A27" s="89" t="s">
        <v>264</v>
      </c>
      <c r="B27" s="21" t="s">
        <v>261</v>
      </c>
      <c r="C27" s="13" t="s">
        <v>265</v>
      </c>
      <c r="D27" s="101">
        <f t="shared" ref="D27:D29" si="4">E27+F27+G27+H27</f>
        <v>0</v>
      </c>
      <c r="E27" s="98"/>
      <c r="F27" s="98"/>
      <c r="G27" s="98"/>
      <c r="H27" s="98"/>
      <c r="I27" s="100"/>
    </row>
    <row r="28" spans="1:9" x14ac:dyDescent="0.3">
      <c r="A28" s="89" t="s">
        <v>266</v>
      </c>
      <c r="B28" s="21" t="s">
        <v>262</v>
      </c>
      <c r="C28" s="13" t="s">
        <v>267</v>
      </c>
      <c r="D28" s="101">
        <f t="shared" si="4"/>
        <v>2966320</v>
      </c>
      <c r="E28" s="98"/>
      <c r="F28" s="98">
        <v>2966320</v>
      </c>
      <c r="G28" s="98"/>
      <c r="H28" s="98"/>
      <c r="I28" s="100"/>
    </row>
    <row r="29" spans="1:9" x14ac:dyDescent="0.3">
      <c r="A29" s="89" t="s">
        <v>268</v>
      </c>
      <c r="B29" s="21" t="s">
        <v>263</v>
      </c>
      <c r="C29" s="13" t="s">
        <v>269</v>
      </c>
      <c r="D29" s="101">
        <f t="shared" si="4"/>
        <v>117548.7</v>
      </c>
      <c r="E29" s="98"/>
      <c r="F29" s="98">
        <f>88251+29297.7</f>
        <v>117548.7</v>
      </c>
      <c r="G29" s="98"/>
      <c r="H29" s="98"/>
      <c r="I29" s="100"/>
    </row>
    <row r="30" spans="1:9" s="85" customFormat="1" ht="16.2" x14ac:dyDescent="0.35">
      <c r="A30" s="90" t="s">
        <v>271</v>
      </c>
      <c r="B30" s="91" t="s">
        <v>38</v>
      </c>
      <c r="C30" s="92" t="s">
        <v>272</v>
      </c>
      <c r="D30" s="335">
        <f>SUM(D31:D34)</f>
        <v>2185402.1</v>
      </c>
      <c r="E30" s="103">
        <f t="shared" ref="E30:I30" si="5">SUM(E31:E34)</f>
        <v>1937348</v>
      </c>
      <c r="F30" s="103">
        <f t="shared" si="5"/>
        <v>0</v>
      </c>
      <c r="G30" s="103">
        <f t="shared" si="5"/>
        <v>0</v>
      </c>
      <c r="H30" s="103">
        <f t="shared" si="5"/>
        <v>248054.1</v>
      </c>
      <c r="I30" s="104">
        <f t="shared" si="5"/>
        <v>0</v>
      </c>
    </row>
    <row r="31" spans="1:9" ht="46.8" x14ac:dyDescent="0.3">
      <c r="A31" s="89" t="s">
        <v>275</v>
      </c>
      <c r="B31" s="21"/>
      <c r="C31" s="13" t="s">
        <v>270</v>
      </c>
      <c r="D31" s="336">
        <f>E31+F31+G31+H31</f>
        <v>74200.759999999995</v>
      </c>
      <c r="E31" s="98"/>
      <c r="F31" s="98"/>
      <c r="G31" s="98"/>
      <c r="H31" s="98">
        <v>74200.759999999995</v>
      </c>
      <c r="I31" s="100"/>
    </row>
    <row r="32" spans="1:9" x14ac:dyDescent="0.3">
      <c r="A32" s="89" t="s">
        <v>277</v>
      </c>
      <c r="B32" s="21"/>
      <c r="C32" s="13" t="s">
        <v>273</v>
      </c>
      <c r="D32" s="336">
        <f>E32+F32+G32+H32</f>
        <v>1616097.79</v>
      </c>
      <c r="E32" s="98">
        <v>1523228</v>
      </c>
      <c r="F32" s="98"/>
      <c r="G32" s="98"/>
      <c r="H32" s="98">
        <v>92869.79</v>
      </c>
      <c r="I32" s="100"/>
    </row>
    <row r="33" spans="1:9" x14ac:dyDescent="0.3">
      <c r="A33" s="89" t="s">
        <v>278</v>
      </c>
      <c r="B33" s="21"/>
      <c r="C33" s="13" t="s">
        <v>274</v>
      </c>
      <c r="D33" s="336">
        <f t="shared" ref="D33:D34" si="6">E33+F33+G33+H33</f>
        <v>445076.4</v>
      </c>
      <c r="E33" s="98">
        <v>414120</v>
      </c>
      <c r="F33" s="98"/>
      <c r="G33" s="98"/>
      <c r="H33" s="98">
        <v>30956.400000000001</v>
      </c>
      <c r="I33" s="100"/>
    </row>
    <row r="34" spans="1:9" x14ac:dyDescent="0.3">
      <c r="A34" s="89" t="s">
        <v>279</v>
      </c>
      <c r="B34" s="21"/>
      <c r="C34" s="13" t="s">
        <v>276</v>
      </c>
      <c r="D34" s="336">
        <f t="shared" si="6"/>
        <v>50027.15</v>
      </c>
      <c r="E34" s="98"/>
      <c r="F34" s="98"/>
      <c r="G34" s="98"/>
      <c r="H34" s="98">
        <v>50027.15</v>
      </c>
      <c r="I34" s="100"/>
    </row>
    <row r="35" spans="1:9" s="85" customFormat="1" ht="32.4" x14ac:dyDescent="0.35">
      <c r="A35" s="90" t="s">
        <v>280</v>
      </c>
      <c r="B35" s="91" t="s">
        <v>39</v>
      </c>
      <c r="C35" s="92" t="s">
        <v>46</v>
      </c>
      <c r="D35" s="337" t="s">
        <v>24</v>
      </c>
      <c r="E35" s="93" t="s">
        <v>24</v>
      </c>
      <c r="F35" s="93" t="s">
        <v>24</v>
      </c>
      <c r="G35" s="103">
        <f>SUM(G36)</f>
        <v>0</v>
      </c>
      <c r="H35" s="93" t="s">
        <v>24</v>
      </c>
      <c r="I35" s="94" t="s">
        <v>24</v>
      </c>
    </row>
    <row r="36" spans="1:9" ht="31.2" x14ac:dyDescent="0.3">
      <c r="A36" s="89" t="s">
        <v>282</v>
      </c>
      <c r="B36" s="21" t="s">
        <v>281</v>
      </c>
      <c r="C36" s="13" t="s">
        <v>283</v>
      </c>
      <c r="D36" s="338" t="s">
        <v>24</v>
      </c>
      <c r="E36" s="15" t="s">
        <v>24</v>
      </c>
      <c r="F36" s="15" t="s">
        <v>24</v>
      </c>
      <c r="G36" s="99"/>
      <c r="H36" s="15" t="s">
        <v>24</v>
      </c>
      <c r="I36" s="22" t="s">
        <v>24</v>
      </c>
    </row>
    <row r="37" spans="1:9" s="85" customFormat="1" ht="16.2" x14ac:dyDescent="0.35">
      <c r="A37" s="90" t="s">
        <v>66</v>
      </c>
      <c r="B37" s="91" t="s">
        <v>40</v>
      </c>
      <c r="C37" s="92"/>
      <c r="D37" s="335">
        <f>D38+D39</f>
        <v>922894.02</v>
      </c>
      <c r="E37" s="103">
        <f t="shared" ref="E37:F37" si="7">E38+E39</f>
        <v>0</v>
      </c>
      <c r="F37" s="103">
        <f t="shared" si="7"/>
        <v>922894.02</v>
      </c>
      <c r="G37" s="103">
        <f t="shared" ref="G37:I37" si="8">G38+G39</f>
        <v>0</v>
      </c>
      <c r="H37" s="103">
        <f t="shared" si="8"/>
        <v>0</v>
      </c>
      <c r="I37" s="104">
        <f t="shared" si="8"/>
        <v>0</v>
      </c>
    </row>
    <row r="38" spans="1:9" ht="31.2" x14ac:dyDescent="0.3">
      <c r="A38" s="89" t="s">
        <v>284</v>
      </c>
      <c r="B38" s="21" t="s">
        <v>560</v>
      </c>
      <c r="C38" s="13" t="s">
        <v>285</v>
      </c>
      <c r="D38" s="101">
        <f t="shared" ref="D38" si="9">E38+F38+G38+H38</f>
        <v>0</v>
      </c>
      <c r="E38" s="98"/>
      <c r="F38" s="98"/>
      <c r="G38" s="98"/>
      <c r="H38" s="98"/>
      <c r="I38" s="100"/>
    </row>
    <row r="39" spans="1:9" ht="31.2" x14ac:dyDescent="0.3">
      <c r="A39" s="89" t="s">
        <v>288</v>
      </c>
      <c r="B39" s="21" t="s">
        <v>561</v>
      </c>
      <c r="C39" s="13" t="s">
        <v>289</v>
      </c>
      <c r="D39" s="336">
        <f>SUM(D40:D48)</f>
        <v>922894.02</v>
      </c>
      <c r="E39" s="101">
        <f t="shared" ref="E39:F39" si="10">SUM(E40:E48)</f>
        <v>0</v>
      </c>
      <c r="F39" s="101">
        <f t="shared" si="10"/>
        <v>922894.02</v>
      </c>
      <c r="G39" s="101">
        <f t="shared" ref="G39:I39" si="11">SUM(G40:G48)</f>
        <v>0</v>
      </c>
      <c r="H39" s="101">
        <f t="shared" si="11"/>
        <v>0</v>
      </c>
      <c r="I39" s="102">
        <f t="shared" si="11"/>
        <v>0</v>
      </c>
    </row>
    <row r="40" spans="1:9" ht="31.2" x14ac:dyDescent="0.3">
      <c r="A40" s="95" t="s">
        <v>291</v>
      </c>
      <c r="B40" s="21"/>
      <c r="C40" s="13" t="s">
        <v>289</v>
      </c>
      <c r="D40" s="101">
        <f t="shared" ref="D40:D48" si="12">E40+F40+G40+H40</f>
        <v>0</v>
      </c>
      <c r="E40" s="98"/>
      <c r="F40" s="98"/>
      <c r="G40" s="98"/>
      <c r="H40" s="98"/>
      <c r="I40" s="100"/>
    </row>
    <row r="41" spans="1:9" x14ac:dyDescent="0.3">
      <c r="A41" s="95" t="s">
        <v>193</v>
      </c>
      <c r="B41" s="21"/>
      <c r="C41" s="13" t="s">
        <v>289</v>
      </c>
      <c r="D41" s="101">
        <f t="shared" si="12"/>
        <v>0</v>
      </c>
      <c r="E41" s="98"/>
      <c r="F41" s="98"/>
      <c r="G41" s="98"/>
      <c r="H41" s="98"/>
      <c r="I41" s="100"/>
    </row>
    <row r="42" spans="1:9" x14ac:dyDescent="0.3">
      <c r="A42" s="95" t="s">
        <v>290</v>
      </c>
      <c r="B42" s="21"/>
      <c r="C42" s="13" t="s">
        <v>289</v>
      </c>
      <c r="D42" s="101">
        <f t="shared" si="12"/>
        <v>292495.5</v>
      </c>
      <c r="E42" s="98"/>
      <c r="F42" s="98">
        <f>234172.1+58323.4</f>
        <v>292495.5</v>
      </c>
      <c r="G42" s="98"/>
      <c r="H42" s="98"/>
      <c r="I42" s="100"/>
    </row>
    <row r="43" spans="1:9" x14ac:dyDescent="0.3">
      <c r="A43" s="95" t="s">
        <v>200</v>
      </c>
      <c r="B43" s="21"/>
      <c r="C43" s="13" t="s">
        <v>289</v>
      </c>
      <c r="D43" s="101">
        <f t="shared" si="12"/>
        <v>0</v>
      </c>
      <c r="E43" s="98"/>
      <c r="F43" s="98"/>
      <c r="G43" s="98"/>
      <c r="H43" s="98"/>
      <c r="I43" s="100"/>
    </row>
    <row r="44" spans="1:9" x14ac:dyDescent="0.3">
      <c r="A44" s="95" t="s">
        <v>202</v>
      </c>
      <c r="B44" s="21"/>
      <c r="C44" s="13" t="s">
        <v>289</v>
      </c>
      <c r="D44" s="101">
        <f t="shared" si="12"/>
        <v>119457.52</v>
      </c>
      <c r="E44" s="98"/>
      <c r="F44" s="98">
        <v>119457.52</v>
      </c>
      <c r="G44" s="98"/>
      <c r="H44" s="98"/>
      <c r="I44" s="100"/>
    </row>
    <row r="45" spans="1:9" x14ac:dyDescent="0.3">
      <c r="A45" s="95" t="s">
        <v>204</v>
      </c>
      <c r="B45" s="21"/>
      <c r="C45" s="13" t="s">
        <v>289</v>
      </c>
      <c r="D45" s="101">
        <f t="shared" si="12"/>
        <v>0</v>
      </c>
      <c r="E45" s="98"/>
      <c r="F45" s="98"/>
      <c r="G45" s="98"/>
      <c r="H45" s="98"/>
      <c r="I45" s="100"/>
    </row>
    <row r="46" spans="1:9" x14ac:dyDescent="0.3">
      <c r="A46" s="95" t="s">
        <v>207</v>
      </c>
      <c r="B46" s="21"/>
      <c r="C46" s="13" t="s">
        <v>289</v>
      </c>
      <c r="D46" s="101">
        <f t="shared" si="12"/>
        <v>0</v>
      </c>
      <c r="E46" s="98"/>
      <c r="F46" s="98"/>
      <c r="G46" s="98"/>
      <c r="H46" s="98"/>
      <c r="I46" s="100"/>
    </row>
    <row r="47" spans="1:9" x14ac:dyDescent="0.3">
      <c r="A47" s="95" t="s">
        <v>209</v>
      </c>
      <c r="B47" s="21"/>
      <c r="C47" s="13" t="s">
        <v>289</v>
      </c>
      <c r="D47" s="101">
        <f t="shared" si="12"/>
        <v>462781</v>
      </c>
      <c r="E47" s="98"/>
      <c r="F47" s="98">
        <v>462781</v>
      </c>
      <c r="G47" s="98"/>
      <c r="H47" s="98"/>
      <c r="I47" s="100"/>
    </row>
    <row r="48" spans="1:9" x14ac:dyDescent="0.3">
      <c r="A48" s="95" t="s">
        <v>292</v>
      </c>
      <c r="B48" s="21"/>
      <c r="C48" s="13" t="s">
        <v>289</v>
      </c>
      <c r="D48" s="101">
        <f t="shared" si="12"/>
        <v>48160</v>
      </c>
      <c r="E48" s="98"/>
      <c r="F48" s="98">
        <v>48160</v>
      </c>
      <c r="G48" s="98"/>
      <c r="H48" s="98"/>
      <c r="I48" s="100"/>
    </row>
    <row r="49" spans="1:9" s="85" customFormat="1" ht="16.2" x14ac:dyDescent="0.35">
      <c r="A49" s="90" t="s">
        <v>67</v>
      </c>
      <c r="B49" s="91" t="s">
        <v>41</v>
      </c>
      <c r="C49" s="92" t="s">
        <v>34</v>
      </c>
      <c r="D49" s="103">
        <f>SUM(D50:D51)</f>
        <v>18513566.98</v>
      </c>
      <c r="E49" s="103">
        <f t="shared" ref="E49:F49" si="13">SUM(E50:E51)</f>
        <v>14078484.1</v>
      </c>
      <c r="F49" s="103">
        <f t="shared" si="13"/>
        <v>0</v>
      </c>
      <c r="G49" s="103">
        <f t="shared" ref="G49:I49" si="14">SUM(G50:G51)</f>
        <v>0</v>
      </c>
      <c r="H49" s="103">
        <f t="shared" si="14"/>
        <v>4435082.88</v>
      </c>
      <c r="I49" s="104">
        <f t="shared" si="14"/>
        <v>0</v>
      </c>
    </row>
    <row r="50" spans="1:9" ht="31.2" x14ac:dyDescent="0.3">
      <c r="A50" s="89" t="s">
        <v>284</v>
      </c>
      <c r="B50" s="21" t="s">
        <v>286</v>
      </c>
      <c r="C50" s="13" t="s">
        <v>285</v>
      </c>
      <c r="D50" s="101">
        <f t="shared" ref="D50" si="15">E50+F50+G50+H50</f>
        <v>0</v>
      </c>
      <c r="E50" s="98"/>
      <c r="F50" s="98"/>
      <c r="G50" s="98"/>
      <c r="H50" s="98"/>
      <c r="I50" s="100"/>
    </row>
    <row r="51" spans="1:9" ht="31.2" x14ac:dyDescent="0.3">
      <c r="A51" s="89" t="s">
        <v>288</v>
      </c>
      <c r="B51" s="21" t="s">
        <v>287</v>
      </c>
      <c r="C51" s="13" t="s">
        <v>289</v>
      </c>
      <c r="D51" s="336">
        <f>SUM(D52:D60)</f>
        <v>18513566.98</v>
      </c>
      <c r="E51" s="101">
        <f t="shared" ref="E51:I51" si="16">SUM(E52:E60)</f>
        <v>14078484.1</v>
      </c>
      <c r="F51" s="101">
        <f t="shared" si="16"/>
        <v>0</v>
      </c>
      <c r="G51" s="101">
        <f t="shared" si="16"/>
        <v>0</v>
      </c>
      <c r="H51" s="101">
        <f t="shared" si="16"/>
        <v>4435082.88</v>
      </c>
      <c r="I51" s="102">
        <f t="shared" si="16"/>
        <v>0</v>
      </c>
    </row>
    <row r="52" spans="1:9" ht="31.2" x14ac:dyDescent="0.3">
      <c r="A52" s="95" t="s">
        <v>291</v>
      </c>
      <c r="B52" s="21"/>
      <c r="C52" s="13" t="s">
        <v>289</v>
      </c>
      <c r="D52" s="101">
        <f t="shared" ref="D52:D59" si="17">E52+F52+G52+H52</f>
        <v>170881.27</v>
      </c>
      <c r="E52" s="98">
        <v>55000</v>
      </c>
      <c r="F52" s="98"/>
      <c r="G52" s="98"/>
      <c r="H52" s="98">
        <v>115881.27</v>
      </c>
      <c r="I52" s="100"/>
    </row>
    <row r="53" spans="1:9" x14ac:dyDescent="0.3">
      <c r="A53" s="95" t="s">
        <v>193</v>
      </c>
      <c r="B53" s="21"/>
      <c r="C53" s="13" t="s">
        <v>289</v>
      </c>
      <c r="D53" s="101">
        <f t="shared" si="17"/>
        <v>5229</v>
      </c>
      <c r="E53" s="98">
        <v>5229</v>
      </c>
      <c r="F53" s="98"/>
      <c r="G53" s="98"/>
      <c r="H53" s="98"/>
      <c r="I53" s="100"/>
    </row>
    <row r="54" spans="1:9" x14ac:dyDescent="0.3">
      <c r="A54" s="95" t="s">
        <v>290</v>
      </c>
      <c r="B54" s="21"/>
      <c r="C54" s="13" t="s">
        <v>289</v>
      </c>
      <c r="D54" s="101">
        <f t="shared" si="17"/>
        <v>11020632.859999999</v>
      </c>
      <c r="E54" s="98">
        <f>6196930+2644768+428644.92</f>
        <v>9270342.9199999999</v>
      </c>
      <c r="F54" s="98"/>
      <c r="G54" s="98"/>
      <c r="H54" s="98">
        <f>1048605.11+581993.76+119691.07</f>
        <v>1750289.94</v>
      </c>
      <c r="I54" s="100"/>
    </row>
    <row r="55" spans="1:9" x14ac:dyDescent="0.3">
      <c r="A55" s="95" t="s">
        <v>200</v>
      </c>
      <c r="B55" s="21"/>
      <c r="C55" s="13" t="s">
        <v>289</v>
      </c>
      <c r="D55" s="101">
        <f t="shared" si="17"/>
        <v>0</v>
      </c>
      <c r="E55" s="98"/>
      <c r="F55" s="98"/>
      <c r="G55" s="98"/>
      <c r="H55" s="98"/>
      <c r="I55" s="100"/>
    </row>
    <row r="56" spans="1:9" x14ac:dyDescent="0.3">
      <c r="A56" s="95" t="s">
        <v>202</v>
      </c>
      <c r="B56" s="21"/>
      <c r="C56" s="13" t="s">
        <v>289</v>
      </c>
      <c r="D56" s="101">
        <f t="shared" si="17"/>
        <v>637885.28</v>
      </c>
      <c r="E56" s="98">
        <f>372644-119457.52</f>
        <v>253186.48</v>
      </c>
      <c r="F56" s="98"/>
      <c r="G56" s="98"/>
      <c r="H56" s="98">
        <f>181626.54+203072.26</f>
        <v>384698.8</v>
      </c>
      <c r="I56" s="100"/>
    </row>
    <row r="57" spans="1:9" x14ac:dyDescent="0.3">
      <c r="A57" s="95" t="s">
        <v>204</v>
      </c>
      <c r="B57" s="21"/>
      <c r="C57" s="13" t="s">
        <v>289</v>
      </c>
      <c r="D57" s="101">
        <f t="shared" si="17"/>
        <v>1052325.5</v>
      </c>
      <c r="E57" s="98">
        <v>652127</v>
      </c>
      <c r="F57" s="98"/>
      <c r="G57" s="98"/>
      <c r="H57" s="98">
        <v>400198.5</v>
      </c>
      <c r="I57" s="100"/>
    </row>
    <row r="58" spans="1:9" x14ac:dyDescent="0.3">
      <c r="A58" s="95" t="s">
        <v>207</v>
      </c>
      <c r="B58" s="21"/>
      <c r="C58" s="13" t="s">
        <v>289</v>
      </c>
      <c r="D58" s="101">
        <f t="shared" si="17"/>
        <v>0</v>
      </c>
      <c r="E58" s="98"/>
      <c r="F58" s="98"/>
      <c r="G58" s="98"/>
      <c r="H58" s="98"/>
      <c r="I58" s="100"/>
    </row>
    <row r="59" spans="1:9" x14ac:dyDescent="0.3">
      <c r="A59" s="95" t="s">
        <v>209</v>
      </c>
      <c r="B59" s="21"/>
      <c r="C59" s="13" t="s">
        <v>289</v>
      </c>
      <c r="D59" s="101">
        <f t="shared" si="17"/>
        <v>307911.58</v>
      </c>
      <c r="E59" s="98">
        <v>100000</v>
      </c>
      <c r="F59" s="98"/>
      <c r="G59" s="98"/>
      <c r="H59" s="98">
        <v>207911.58</v>
      </c>
      <c r="I59" s="100"/>
    </row>
    <row r="60" spans="1:9" x14ac:dyDescent="0.3">
      <c r="A60" s="95" t="s">
        <v>292</v>
      </c>
      <c r="B60" s="21"/>
      <c r="C60" s="13" t="s">
        <v>289</v>
      </c>
      <c r="D60" s="336">
        <f t="shared" ref="D60" si="18">E60++F60+G60+H60</f>
        <v>5318701.49</v>
      </c>
      <c r="E60" s="98">
        <f>10833+1866580.7+1533196+150681+181308</f>
        <v>3742598.7</v>
      </c>
      <c r="F60" s="98"/>
      <c r="G60" s="98"/>
      <c r="H60" s="98">
        <f>122300+437426.49+628873.08+234538.33+132964.89+20000</f>
        <v>1576102.79</v>
      </c>
      <c r="I60" s="100"/>
    </row>
    <row r="61" spans="1:9" s="85" customFormat="1" ht="16.2" x14ac:dyDescent="0.35">
      <c r="A61" s="90" t="s">
        <v>68</v>
      </c>
      <c r="B61" s="91" t="s">
        <v>42</v>
      </c>
      <c r="C61" s="92" t="s">
        <v>50</v>
      </c>
      <c r="D61" s="103">
        <f>SUM(D62:D63)</f>
        <v>0</v>
      </c>
      <c r="E61" s="103">
        <f t="shared" ref="E61:I61" si="19">SUM(E62:E63)</f>
        <v>0</v>
      </c>
      <c r="F61" s="103">
        <f t="shared" ref="F61" si="20">SUM(F62:F63)</f>
        <v>0</v>
      </c>
      <c r="G61" s="103">
        <f t="shared" si="19"/>
        <v>0</v>
      </c>
      <c r="H61" s="103">
        <f t="shared" ref="H61" si="21">SUM(H62:H63)</f>
        <v>0</v>
      </c>
      <c r="I61" s="104">
        <f t="shared" si="19"/>
        <v>0</v>
      </c>
    </row>
    <row r="62" spans="1:9" ht="31.2" x14ac:dyDescent="0.3">
      <c r="A62" s="89" t="s">
        <v>293</v>
      </c>
      <c r="B62" s="21" t="s">
        <v>43</v>
      </c>
      <c r="C62" s="13" t="s">
        <v>233</v>
      </c>
      <c r="D62" s="101">
        <f t="shared" ref="D62:D63" si="22">E62+F62+G62+H62</f>
        <v>0</v>
      </c>
      <c r="E62" s="98"/>
      <c r="F62" s="98"/>
      <c r="G62" s="98"/>
      <c r="H62" s="98"/>
      <c r="I62" s="100"/>
    </row>
    <row r="63" spans="1:9" x14ac:dyDescent="0.3">
      <c r="A63" s="89" t="s">
        <v>44</v>
      </c>
      <c r="B63" s="21" t="s">
        <v>45</v>
      </c>
      <c r="C63" s="13"/>
      <c r="D63" s="101">
        <f t="shared" si="22"/>
        <v>0</v>
      </c>
      <c r="E63" s="98"/>
      <c r="F63" s="98"/>
      <c r="G63" s="98"/>
      <c r="H63" s="98"/>
      <c r="I63" s="100"/>
    </row>
    <row r="64" spans="1:9" s="85" customFormat="1" ht="16.2" x14ac:dyDescent="0.35">
      <c r="A64" s="90" t="s">
        <v>69</v>
      </c>
      <c r="B64" s="91" t="s">
        <v>46</v>
      </c>
      <c r="C64" s="92" t="s">
        <v>51</v>
      </c>
      <c r="D64" s="103">
        <f>SUM(D65:D66)</f>
        <v>0</v>
      </c>
      <c r="E64" s="103">
        <f t="shared" ref="E64:I64" si="23">SUM(E65:E66)</f>
        <v>0</v>
      </c>
      <c r="F64" s="103">
        <f t="shared" si="23"/>
        <v>0</v>
      </c>
      <c r="G64" s="103">
        <f t="shared" si="23"/>
        <v>0</v>
      </c>
      <c r="H64" s="103">
        <f t="shared" si="23"/>
        <v>0</v>
      </c>
      <c r="I64" s="104">
        <f t="shared" si="23"/>
        <v>0</v>
      </c>
    </row>
    <row r="65" spans="1:9" ht="31.2" x14ac:dyDescent="0.3">
      <c r="A65" s="89" t="s">
        <v>294</v>
      </c>
      <c r="B65" s="21" t="s">
        <v>47</v>
      </c>
      <c r="C65" s="13" t="s">
        <v>295</v>
      </c>
      <c r="D65" s="101">
        <f t="shared" ref="D65:D67" si="24">E65+F65+G65+H65</f>
        <v>0</v>
      </c>
      <c r="E65" s="98"/>
      <c r="F65" s="98"/>
      <c r="G65" s="98"/>
      <c r="H65" s="98"/>
      <c r="I65" s="100"/>
    </row>
    <row r="66" spans="1:9" x14ac:dyDescent="0.3">
      <c r="A66" s="89" t="s">
        <v>48</v>
      </c>
      <c r="B66" s="21" t="s">
        <v>49</v>
      </c>
      <c r="C66" s="13"/>
      <c r="D66" s="101">
        <f t="shared" si="24"/>
        <v>0</v>
      </c>
      <c r="E66" s="98"/>
      <c r="F66" s="98"/>
      <c r="G66" s="98"/>
      <c r="H66" s="98"/>
      <c r="I66" s="100"/>
    </row>
    <row r="67" spans="1:9" x14ac:dyDescent="0.3">
      <c r="A67" s="16" t="s">
        <v>70</v>
      </c>
      <c r="B67" s="23" t="s">
        <v>50</v>
      </c>
      <c r="C67" s="13" t="s">
        <v>24</v>
      </c>
      <c r="D67" s="101">
        <f t="shared" si="24"/>
        <v>252615.65</v>
      </c>
      <c r="E67" s="101">
        <v>5494.62</v>
      </c>
      <c r="F67" s="101"/>
      <c r="G67" s="101"/>
      <c r="H67" s="101">
        <f>3072.26+244048.77</f>
        <v>247121.03</v>
      </c>
      <c r="I67" s="102"/>
    </row>
    <row r="68" spans="1:9" ht="16.2" thickBot="1" x14ac:dyDescent="0.35">
      <c r="A68" s="16" t="s">
        <v>71</v>
      </c>
      <c r="B68" s="24" t="s">
        <v>51</v>
      </c>
      <c r="C68" s="25" t="s">
        <v>24</v>
      </c>
      <c r="D68" s="105">
        <f t="shared" ref="D68" si="25">D67+D12-D20</f>
        <v>0</v>
      </c>
      <c r="E68" s="105">
        <f t="shared" ref="E68:I68" si="26">E67+E12-E20</f>
        <v>0</v>
      </c>
      <c r="F68" s="105">
        <f t="shared" si="26"/>
        <v>0</v>
      </c>
      <c r="G68" s="105">
        <f t="shared" si="26"/>
        <v>0</v>
      </c>
      <c r="H68" s="105">
        <f t="shared" si="26"/>
        <v>0</v>
      </c>
      <c r="I68" s="106">
        <f t="shared" si="26"/>
        <v>0</v>
      </c>
    </row>
    <row r="69" spans="1:9" x14ac:dyDescent="0.3">
      <c r="H69" s="501"/>
    </row>
    <row r="70" spans="1:9" x14ac:dyDescent="0.3">
      <c r="D70" s="501"/>
    </row>
    <row r="71" spans="1:9" x14ac:dyDescent="0.3">
      <c r="A71" s="109" t="s">
        <v>175</v>
      </c>
      <c r="C71" s="524"/>
      <c r="D71" s="524"/>
      <c r="E71" s="363"/>
      <c r="F71" s="524" t="s">
        <v>810</v>
      </c>
      <c r="G71" s="524"/>
      <c r="H71" s="363"/>
      <c r="I71" s="363"/>
    </row>
    <row r="72" spans="1:9" x14ac:dyDescent="0.3">
      <c r="A72" s="110"/>
      <c r="B72" s="55"/>
      <c r="C72" s="525" t="s">
        <v>96</v>
      </c>
      <c r="D72" s="525"/>
      <c r="E72" s="363"/>
      <c r="F72" s="525" t="s">
        <v>97</v>
      </c>
      <c r="G72" s="525"/>
      <c r="H72" s="363"/>
      <c r="I72" s="363"/>
    </row>
    <row r="73" spans="1:9" x14ac:dyDescent="0.3">
      <c r="A73" s="108" t="s">
        <v>154</v>
      </c>
      <c r="B73" s="55"/>
      <c r="C73" s="432"/>
      <c r="D73" s="363"/>
      <c r="E73" s="363"/>
      <c r="F73" s="363"/>
      <c r="G73" s="432"/>
      <c r="H73" s="363"/>
      <c r="I73" s="363"/>
    </row>
    <row r="74" spans="1:9" x14ac:dyDescent="0.3">
      <c r="A74" s="109" t="s">
        <v>296</v>
      </c>
      <c r="C74" s="524"/>
      <c r="D74" s="524"/>
      <c r="E74" s="363"/>
      <c r="F74" s="524" t="s">
        <v>811</v>
      </c>
      <c r="G74" s="524"/>
      <c r="H74" s="363"/>
      <c r="I74" s="363"/>
    </row>
    <row r="75" spans="1:9" x14ac:dyDescent="0.3">
      <c r="A75" s="109"/>
      <c r="C75" s="525" t="s">
        <v>96</v>
      </c>
      <c r="D75" s="525"/>
      <c r="E75" s="363"/>
      <c r="F75" s="525" t="s">
        <v>97</v>
      </c>
      <c r="G75" s="525"/>
      <c r="H75" s="363"/>
      <c r="I75" s="363"/>
    </row>
    <row r="76" spans="1:9" x14ac:dyDescent="0.3">
      <c r="A76" s="110"/>
      <c r="C76" s="363"/>
      <c r="D76" s="363"/>
      <c r="E76" s="363"/>
      <c r="F76" s="363"/>
      <c r="G76" s="363"/>
      <c r="H76" s="363"/>
      <c r="I76" s="363"/>
    </row>
    <row r="77" spans="1:9" x14ac:dyDescent="0.3">
      <c r="A77" s="109" t="s">
        <v>297</v>
      </c>
      <c r="C77" s="524" t="s">
        <v>910</v>
      </c>
      <c r="D77" s="524"/>
      <c r="E77" s="427"/>
      <c r="F77" s="524" t="s">
        <v>811</v>
      </c>
      <c r="G77" s="524"/>
      <c r="H77" s="524" t="s">
        <v>912</v>
      </c>
      <c r="I77" s="524"/>
    </row>
    <row r="78" spans="1:9" x14ac:dyDescent="0.3">
      <c r="A78" s="109" t="str">
        <f>'Заголовочная часть'!J6</f>
        <v>« 06 » апреля 2018 года</v>
      </c>
      <c r="C78" s="525" t="s">
        <v>152</v>
      </c>
      <c r="D78" s="525"/>
      <c r="E78" s="414" t="s">
        <v>96</v>
      </c>
      <c r="F78" s="525" t="s">
        <v>298</v>
      </c>
      <c r="G78" s="525"/>
      <c r="H78" s="525" t="s">
        <v>176</v>
      </c>
      <c r="I78" s="525"/>
    </row>
  </sheetData>
  <mergeCells count="27">
    <mergeCell ref="H78:I78"/>
    <mergeCell ref="C75:D75"/>
    <mergeCell ref="F75:G75"/>
    <mergeCell ref="C78:D78"/>
    <mergeCell ref="F78:G78"/>
    <mergeCell ref="C77:D77"/>
    <mergeCell ref="F77:G77"/>
    <mergeCell ref="H77:I77"/>
    <mergeCell ref="C71:D71"/>
    <mergeCell ref="C72:D72"/>
    <mergeCell ref="F71:G71"/>
    <mergeCell ref="F72:G72"/>
    <mergeCell ref="C74:D74"/>
    <mergeCell ref="F74:G74"/>
    <mergeCell ref="A2:I2"/>
    <mergeCell ref="D7:I7"/>
    <mergeCell ref="E8:I8"/>
    <mergeCell ref="H9:I9"/>
    <mergeCell ref="G9:G10"/>
    <mergeCell ref="D8:D10"/>
    <mergeCell ref="A5:I5"/>
    <mergeCell ref="A7:A10"/>
    <mergeCell ref="B7:B10"/>
    <mergeCell ref="C7:C10"/>
    <mergeCell ref="E9:E10"/>
    <mergeCell ref="F9:F10"/>
    <mergeCell ref="A3:I4"/>
  </mergeCells>
  <printOptions horizontalCentered="1"/>
  <pageMargins left="0.78740157480314965" right="0.19685039370078741" top="0.19685039370078741" bottom="0.19685039370078741" header="0.31496062992125984" footer="0.31496062992125984"/>
  <pageSetup paperSize="9" scale="4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opLeftCell="A4" zoomScale="80" zoomScaleNormal="80" workbookViewId="0">
      <selection activeCell="A73" sqref="A73"/>
    </sheetView>
  </sheetViews>
  <sheetFormatPr defaultColWidth="9.109375" defaultRowHeight="15.6" x14ac:dyDescent="0.3"/>
  <cols>
    <col min="1" max="1" width="70.6640625" style="12" customWidth="1"/>
    <col min="2" max="2" width="5.88671875" style="1" customWidth="1"/>
    <col min="3" max="3" width="12.88671875" style="1" customWidth="1"/>
    <col min="4" max="9" width="15.6640625" style="1" customWidth="1"/>
    <col min="10" max="16384" width="9.109375" style="57"/>
  </cols>
  <sheetData>
    <row r="1" spans="1:9" x14ac:dyDescent="0.3">
      <c r="I1" s="2" t="s">
        <v>72</v>
      </c>
    </row>
    <row r="2" spans="1:9" ht="17.399999999999999" x14ac:dyDescent="0.3">
      <c r="A2" s="520" t="s">
        <v>248</v>
      </c>
      <c r="B2" s="520"/>
      <c r="C2" s="520"/>
      <c r="D2" s="520"/>
      <c r="E2" s="520"/>
      <c r="F2" s="520"/>
      <c r="G2" s="520"/>
      <c r="H2" s="520"/>
      <c r="I2" s="520"/>
    </row>
    <row r="3" spans="1:9" ht="18.75" customHeight="1" x14ac:dyDescent="0.3">
      <c r="A3" s="523" t="str">
        <f>'Заголовочная часть'!B14</f>
        <v>Областное государственное бюджетное профессиональное образовательное учреждение "Костромской автодорожный колледж"</v>
      </c>
      <c r="B3" s="523"/>
      <c r="C3" s="523"/>
      <c r="D3" s="523"/>
      <c r="E3" s="523"/>
      <c r="F3" s="523"/>
      <c r="G3" s="523"/>
      <c r="H3" s="523"/>
      <c r="I3" s="523"/>
    </row>
    <row r="4" spans="1:9" ht="18.75" customHeight="1" x14ac:dyDescent="0.3">
      <c r="A4" s="523"/>
      <c r="B4" s="523"/>
      <c r="C4" s="523"/>
      <c r="D4" s="523"/>
      <c r="E4" s="523"/>
      <c r="F4" s="523"/>
      <c r="G4" s="523"/>
      <c r="H4" s="523"/>
      <c r="I4" s="523"/>
    </row>
    <row r="5" spans="1:9" ht="17.399999999999999" x14ac:dyDescent="0.3">
      <c r="A5" s="520" t="s">
        <v>792</v>
      </c>
      <c r="B5" s="520"/>
      <c r="C5" s="520"/>
      <c r="D5" s="520"/>
      <c r="E5" s="520"/>
      <c r="F5" s="520"/>
      <c r="G5" s="520"/>
      <c r="H5" s="520"/>
      <c r="I5" s="520"/>
    </row>
    <row r="7" spans="1:9" s="58" customFormat="1" x14ac:dyDescent="0.3">
      <c r="A7" s="522" t="s">
        <v>2</v>
      </c>
      <c r="B7" s="522" t="s">
        <v>52</v>
      </c>
      <c r="C7" s="522" t="s">
        <v>53</v>
      </c>
      <c r="D7" s="521" t="s">
        <v>21</v>
      </c>
      <c r="E7" s="521"/>
      <c r="F7" s="521"/>
      <c r="G7" s="521"/>
      <c r="H7" s="521"/>
      <c r="I7" s="521"/>
    </row>
    <row r="8" spans="1:9" s="58" customFormat="1" x14ac:dyDescent="0.3">
      <c r="A8" s="522"/>
      <c r="B8" s="522"/>
      <c r="C8" s="522"/>
      <c r="D8" s="522" t="s">
        <v>22</v>
      </c>
      <c r="E8" s="521" t="s">
        <v>6</v>
      </c>
      <c r="F8" s="521"/>
      <c r="G8" s="521"/>
      <c r="H8" s="521"/>
      <c r="I8" s="521"/>
    </row>
    <row r="9" spans="1:9" s="58" customFormat="1" ht="148.5" customHeight="1" x14ac:dyDescent="0.3">
      <c r="A9" s="522"/>
      <c r="B9" s="522"/>
      <c r="C9" s="522"/>
      <c r="D9" s="522"/>
      <c r="E9" s="522" t="s">
        <v>372</v>
      </c>
      <c r="F9" s="522" t="s">
        <v>54</v>
      </c>
      <c r="G9" s="522" t="s">
        <v>55</v>
      </c>
      <c r="H9" s="522" t="s">
        <v>56</v>
      </c>
      <c r="I9" s="522"/>
    </row>
    <row r="10" spans="1:9" s="58" customFormat="1" ht="51.75" customHeight="1" x14ac:dyDescent="0.3">
      <c r="A10" s="522"/>
      <c r="B10" s="522"/>
      <c r="C10" s="522"/>
      <c r="D10" s="522"/>
      <c r="E10" s="522"/>
      <c r="F10" s="522"/>
      <c r="G10" s="522"/>
      <c r="H10" s="290" t="s">
        <v>22</v>
      </c>
      <c r="I10" s="290" t="s">
        <v>57</v>
      </c>
    </row>
    <row r="11" spans="1:9" s="58" customFormat="1" ht="16.2" thickBot="1" x14ac:dyDescent="0.35">
      <c r="A11" s="291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9</v>
      </c>
      <c r="I11" s="166">
        <v>10</v>
      </c>
    </row>
    <row r="12" spans="1:9" s="58" customFormat="1" x14ac:dyDescent="0.3">
      <c r="A12" s="16" t="s">
        <v>58</v>
      </c>
      <c r="B12" s="19" t="s">
        <v>23</v>
      </c>
      <c r="C12" s="20" t="s">
        <v>24</v>
      </c>
      <c r="D12" s="96">
        <f t="shared" ref="D12" si="0">SUM(D13:D19)</f>
        <v>0</v>
      </c>
      <c r="E12" s="96">
        <f t="shared" ref="E12:I12" si="1">SUM(E13:E19)</f>
        <v>0</v>
      </c>
      <c r="F12" s="96">
        <f t="shared" si="1"/>
        <v>0</v>
      </c>
      <c r="G12" s="96">
        <f t="shared" si="1"/>
        <v>0</v>
      </c>
      <c r="H12" s="96">
        <f t="shared" si="1"/>
        <v>0</v>
      </c>
      <c r="I12" s="97">
        <f t="shared" si="1"/>
        <v>0</v>
      </c>
    </row>
    <row r="13" spans="1:9" ht="31.2" x14ac:dyDescent="0.3">
      <c r="A13" s="17" t="s">
        <v>59</v>
      </c>
      <c r="B13" s="21" t="s">
        <v>25</v>
      </c>
      <c r="C13" s="13" t="s">
        <v>26</v>
      </c>
      <c r="D13" s="101">
        <f>H13</f>
        <v>0</v>
      </c>
      <c r="E13" s="15" t="s">
        <v>24</v>
      </c>
      <c r="F13" s="15" t="s">
        <v>24</v>
      </c>
      <c r="G13" s="15" t="s">
        <v>24</v>
      </c>
      <c r="H13" s="99"/>
      <c r="I13" s="22" t="s">
        <v>24</v>
      </c>
    </row>
    <row r="14" spans="1:9" x14ac:dyDescent="0.3">
      <c r="A14" s="17" t="s">
        <v>60</v>
      </c>
      <c r="B14" s="21" t="s">
        <v>26</v>
      </c>
      <c r="C14" s="13" t="s">
        <v>27</v>
      </c>
      <c r="D14" s="101">
        <f>E14+H14</f>
        <v>0</v>
      </c>
      <c r="E14" s="99"/>
      <c r="F14" s="15" t="s">
        <v>24</v>
      </c>
      <c r="G14" s="15" t="s">
        <v>24</v>
      </c>
      <c r="H14" s="99"/>
      <c r="I14" s="22" t="s">
        <v>24</v>
      </c>
    </row>
    <row r="15" spans="1:9" x14ac:dyDescent="0.3">
      <c r="A15" s="17" t="s">
        <v>61</v>
      </c>
      <c r="B15" s="21" t="s">
        <v>27</v>
      </c>
      <c r="C15" s="13" t="s">
        <v>28</v>
      </c>
      <c r="D15" s="101">
        <f>H15</f>
        <v>0</v>
      </c>
      <c r="E15" s="15" t="s">
        <v>24</v>
      </c>
      <c r="F15" s="15" t="s">
        <v>24</v>
      </c>
      <c r="G15" s="15" t="s">
        <v>24</v>
      </c>
      <c r="H15" s="99"/>
      <c r="I15" s="22" t="s">
        <v>24</v>
      </c>
    </row>
    <row r="16" spans="1:9" ht="46.8" x14ac:dyDescent="0.3">
      <c r="A16" s="17" t="s">
        <v>62</v>
      </c>
      <c r="B16" s="21" t="s">
        <v>28</v>
      </c>
      <c r="C16" s="13" t="s">
        <v>29</v>
      </c>
      <c r="D16" s="101">
        <f>-H16</f>
        <v>0</v>
      </c>
      <c r="E16" s="15" t="s">
        <v>24</v>
      </c>
      <c r="F16" s="15" t="s">
        <v>24</v>
      </c>
      <c r="G16" s="15" t="s">
        <v>24</v>
      </c>
      <c r="H16" s="99"/>
      <c r="I16" s="22" t="s">
        <v>24</v>
      </c>
    </row>
    <row r="17" spans="1:9" x14ac:dyDescent="0.3">
      <c r="A17" s="17" t="s">
        <v>63</v>
      </c>
      <c r="B17" s="21" t="s">
        <v>29</v>
      </c>
      <c r="C17" s="13" t="s">
        <v>32</v>
      </c>
      <c r="D17" s="101">
        <f>F17+G17</f>
        <v>0</v>
      </c>
      <c r="E17" s="15" t="s">
        <v>24</v>
      </c>
      <c r="F17" s="99"/>
      <c r="G17" s="99"/>
      <c r="H17" s="15"/>
      <c r="I17" s="22" t="s">
        <v>24</v>
      </c>
    </row>
    <row r="18" spans="1:9" x14ac:dyDescent="0.3">
      <c r="A18" s="17" t="s">
        <v>30</v>
      </c>
      <c r="B18" s="21" t="s">
        <v>31</v>
      </c>
      <c r="C18" s="13" t="s">
        <v>32</v>
      </c>
      <c r="D18" s="101">
        <f>H18</f>
        <v>0</v>
      </c>
      <c r="E18" s="15" t="s">
        <v>24</v>
      </c>
      <c r="F18" s="15" t="s">
        <v>24</v>
      </c>
      <c r="G18" s="15" t="s">
        <v>24</v>
      </c>
      <c r="H18" s="99"/>
      <c r="I18" s="107"/>
    </row>
    <row r="19" spans="1:9" x14ac:dyDescent="0.3">
      <c r="A19" s="17" t="s">
        <v>64</v>
      </c>
      <c r="B19" s="21" t="s">
        <v>32</v>
      </c>
      <c r="C19" s="13" t="s">
        <v>24</v>
      </c>
      <c r="D19" s="101">
        <f>H19</f>
        <v>0</v>
      </c>
      <c r="E19" s="15" t="s">
        <v>24</v>
      </c>
      <c r="F19" s="15" t="s">
        <v>24</v>
      </c>
      <c r="G19" s="15" t="s">
        <v>24</v>
      </c>
      <c r="H19" s="99"/>
      <c r="I19" s="22" t="s">
        <v>24</v>
      </c>
    </row>
    <row r="20" spans="1:9" s="58" customFormat="1" x14ac:dyDescent="0.3">
      <c r="A20" s="16" t="s">
        <v>33</v>
      </c>
      <c r="B20" s="23" t="s">
        <v>34</v>
      </c>
      <c r="C20" s="13" t="s">
        <v>229</v>
      </c>
      <c r="D20" s="101">
        <f>D21+D26+D30+D37+D49</f>
        <v>0</v>
      </c>
      <c r="E20" s="101">
        <f>E21+E26+E30+E37+E49</f>
        <v>0</v>
      </c>
      <c r="F20" s="101">
        <f>F21+F26+F30+F37+F49</f>
        <v>0</v>
      </c>
      <c r="G20" s="101">
        <f>G21+G26+G30+G37+G49+G35</f>
        <v>0</v>
      </c>
      <c r="H20" s="101">
        <f>H21+H26+H30+H37+H49</f>
        <v>0</v>
      </c>
      <c r="I20" s="102">
        <f>I21+I26+I30+I37+I49</f>
        <v>0</v>
      </c>
    </row>
    <row r="21" spans="1:9" s="85" customFormat="1" ht="32.4" x14ac:dyDescent="0.35">
      <c r="A21" s="90" t="s">
        <v>65</v>
      </c>
      <c r="B21" s="91" t="s">
        <v>35</v>
      </c>
      <c r="C21" s="92" t="s">
        <v>23</v>
      </c>
      <c r="D21" s="103">
        <f>SUM(D22:D25)</f>
        <v>0</v>
      </c>
      <c r="E21" s="103">
        <f t="shared" ref="E21:I21" si="2">SUM(E22:E25)</f>
        <v>0</v>
      </c>
      <c r="F21" s="103">
        <f t="shared" si="2"/>
        <v>0</v>
      </c>
      <c r="G21" s="103">
        <f t="shared" si="2"/>
        <v>0</v>
      </c>
      <c r="H21" s="103">
        <f t="shared" si="2"/>
        <v>0</v>
      </c>
      <c r="I21" s="104">
        <f t="shared" si="2"/>
        <v>0</v>
      </c>
    </row>
    <row r="22" spans="1:9" ht="31.2" x14ac:dyDescent="0.3">
      <c r="A22" s="89" t="s">
        <v>254</v>
      </c>
      <c r="B22" s="21" t="s">
        <v>36</v>
      </c>
      <c r="C22" s="13" t="s">
        <v>249</v>
      </c>
      <c r="D22" s="101">
        <f>E22+F22+G22+H22</f>
        <v>0</v>
      </c>
      <c r="E22" s="98"/>
      <c r="F22" s="98"/>
      <c r="G22" s="98"/>
      <c r="H22" s="98"/>
      <c r="I22" s="100"/>
    </row>
    <row r="23" spans="1:9" ht="31.2" x14ac:dyDescent="0.3">
      <c r="A23" s="89" t="s">
        <v>253</v>
      </c>
      <c r="B23" s="21" t="s">
        <v>255</v>
      </c>
      <c r="C23" s="13" t="s">
        <v>250</v>
      </c>
      <c r="D23" s="101">
        <f t="shared" ref="D23:D25" si="3">E23+F23+G23+H23</f>
        <v>0</v>
      </c>
      <c r="E23" s="98"/>
      <c r="F23" s="98"/>
      <c r="G23" s="98"/>
      <c r="H23" s="98"/>
      <c r="I23" s="100"/>
    </row>
    <row r="24" spans="1:9" ht="46.8" x14ac:dyDescent="0.3">
      <c r="A24" s="89" t="s">
        <v>258</v>
      </c>
      <c r="B24" s="21" t="s">
        <v>256</v>
      </c>
      <c r="C24" s="13" t="s">
        <v>251</v>
      </c>
      <c r="D24" s="101">
        <f t="shared" si="3"/>
        <v>0</v>
      </c>
      <c r="E24" s="98"/>
      <c r="F24" s="98"/>
      <c r="G24" s="98"/>
      <c r="H24" s="98"/>
      <c r="I24" s="100"/>
    </row>
    <row r="25" spans="1:9" ht="31.2" x14ac:dyDescent="0.3">
      <c r="A25" s="89" t="s">
        <v>259</v>
      </c>
      <c r="B25" s="21" t="s">
        <v>257</v>
      </c>
      <c r="C25" s="13" t="s">
        <v>252</v>
      </c>
      <c r="D25" s="101">
        <f t="shared" si="3"/>
        <v>0</v>
      </c>
      <c r="E25" s="98"/>
      <c r="F25" s="98"/>
      <c r="G25" s="98"/>
      <c r="H25" s="98"/>
      <c r="I25" s="100"/>
    </row>
    <row r="26" spans="1:9" s="85" customFormat="1" ht="16.2" x14ac:dyDescent="0.35">
      <c r="A26" s="90" t="s">
        <v>260</v>
      </c>
      <c r="B26" s="91" t="s">
        <v>37</v>
      </c>
      <c r="C26" s="92" t="s">
        <v>42</v>
      </c>
      <c r="D26" s="335">
        <f>SUM(D27:D29)</f>
        <v>0</v>
      </c>
      <c r="E26" s="103">
        <f t="shared" ref="E26:I26" si="4">SUM(E27:E29)</f>
        <v>0</v>
      </c>
      <c r="F26" s="103">
        <f t="shared" si="4"/>
        <v>0</v>
      </c>
      <c r="G26" s="103">
        <f t="shared" si="4"/>
        <v>0</v>
      </c>
      <c r="H26" s="103">
        <f t="shared" si="4"/>
        <v>0</v>
      </c>
      <c r="I26" s="104">
        <f t="shared" si="4"/>
        <v>0</v>
      </c>
    </row>
    <row r="27" spans="1:9" ht="46.8" x14ac:dyDescent="0.3">
      <c r="A27" s="89" t="s">
        <v>264</v>
      </c>
      <c r="B27" s="21" t="s">
        <v>261</v>
      </c>
      <c r="C27" s="13" t="s">
        <v>265</v>
      </c>
      <c r="D27" s="101">
        <f t="shared" ref="D27:D29" si="5">E27+F27+G27+H27</f>
        <v>0</v>
      </c>
      <c r="E27" s="98"/>
      <c r="F27" s="98"/>
      <c r="G27" s="98"/>
      <c r="H27" s="98"/>
      <c r="I27" s="100"/>
    </row>
    <row r="28" spans="1:9" x14ac:dyDescent="0.3">
      <c r="A28" s="89" t="s">
        <v>266</v>
      </c>
      <c r="B28" s="21" t="s">
        <v>262</v>
      </c>
      <c r="C28" s="13" t="s">
        <v>267</v>
      </c>
      <c r="D28" s="101">
        <f t="shared" si="5"/>
        <v>0</v>
      </c>
      <c r="E28" s="98"/>
      <c r="F28" s="98"/>
      <c r="G28" s="98"/>
      <c r="H28" s="98"/>
      <c r="I28" s="100"/>
    </row>
    <row r="29" spans="1:9" x14ac:dyDescent="0.3">
      <c r="A29" s="89" t="s">
        <v>268</v>
      </c>
      <c r="B29" s="21" t="s">
        <v>263</v>
      </c>
      <c r="C29" s="13" t="s">
        <v>269</v>
      </c>
      <c r="D29" s="101">
        <f t="shared" si="5"/>
        <v>0</v>
      </c>
      <c r="E29" s="98"/>
      <c r="F29" s="98"/>
      <c r="G29" s="98"/>
      <c r="H29" s="98"/>
      <c r="I29" s="100"/>
    </row>
    <row r="30" spans="1:9" s="85" customFormat="1" ht="16.2" x14ac:dyDescent="0.35">
      <c r="A30" s="90" t="s">
        <v>271</v>
      </c>
      <c r="B30" s="91" t="s">
        <v>38</v>
      </c>
      <c r="C30" s="92" t="s">
        <v>272</v>
      </c>
      <c r="D30" s="335">
        <f>SUM(D31:D34)</f>
        <v>0</v>
      </c>
      <c r="E30" s="103">
        <f t="shared" ref="E30:I30" si="6">SUM(E31:E34)</f>
        <v>0</v>
      </c>
      <c r="F30" s="103">
        <f t="shared" si="6"/>
        <v>0</v>
      </c>
      <c r="G30" s="103">
        <f t="shared" si="6"/>
        <v>0</v>
      </c>
      <c r="H30" s="103">
        <f t="shared" si="6"/>
        <v>0</v>
      </c>
      <c r="I30" s="104">
        <f t="shared" si="6"/>
        <v>0</v>
      </c>
    </row>
    <row r="31" spans="1:9" ht="46.8" x14ac:dyDescent="0.3">
      <c r="A31" s="89" t="s">
        <v>275</v>
      </c>
      <c r="B31" s="21"/>
      <c r="C31" s="13" t="s">
        <v>270</v>
      </c>
      <c r="D31" s="336">
        <f>E31+F31+G31+H31</f>
        <v>0</v>
      </c>
      <c r="E31" s="98"/>
      <c r="F31" s="98"/>
      <c r="G31" s="98"/>
      <c r="H31" s="98"/>
      <c r="I31" s="100"/>
    </row>
    <row r="32" spans="1:9" x14ac:dyDescent="0.3">
      <c r="A32" s="89" t="s">
        <v>277</v>
      </c>
      <c r="B32" s="21"/>
      <c r="C32" s="13" t="s">
        <v>273</v>
      </c>
      <c r="D32" s="336">
        <f>E32+F32+G32+H32</f>
        <v>0</v>
      </c>
      <c r="E32" s="98"/>
      <c r="F32" s="98"/>
      <c r="G32" s="98"/>
      <c r="H32" s="98"/>
      <c r="I32" s="100"/>
    </row>
    <row r="33" spans="1:9" x14ac:dyDescent="0.3">
      <c r="A33" s="89" t="s">
        <v>278</v>
      </c>
      <c r="B33" s="21"/>
      <c r="C33" s="13" t="s">
        <v>274</v>
      </c>
      <c r="D33" s="336">
        <f t="shared" ref="D33:D34" si="7">E33+F33+G33+H33</f>
        <v>0</v>
      </c>
      <c r="E33" s="98"/>
      <c r="F33" s="98"/>
      <c r="G33" s="98"/>
      <c r="H33" s="98"/>
      <c r="I33" s="100"/>
    </row>
    <row r="34" spans="1:9" x14ac:dyDescent="0.3">
      <c r="A34" s="89" t="s">
        <v>279</v>
      </c>
      <c r="B34" s="21"/>
      <c r="C34" s="13" t="s">
        <v>276</v>
      </c>
      <c r="D34" s="336">
        <f t="shared" si="7"/>
        <v>0</v>
      </c>
      <c r="E34" s="98"/>
      <c r="F34" s="98"/>
      <c r="G34" s="98"/>
      <c r="H34" s="98"/>
      <c r="I34" s="100"/>
    </row>
    <row r="35" spans="1:9" s="85" customFormat="1" ht="32.4" x14ac:dyDescent="0.35">
      <c r="A35" s="90" t="s">
        <v>280</v>
      </c>
      <c r="B35" s="91" t="s">
        <v>39</v>
      </c>
      <c r="C35" s="92" t="s">
        <v>46</v>
      </c>
      <c r="D35" s="337" t="s">
        <v>24</v>
      </c>
      <c r="E35" s="93" t="s">
        <v>24</v>
      </c>
      <c r="F35" s="93" t="s">
        <v>24</v>
      </c>
      <c r="G35" s="103">
        <f>SUM(G36)</f>
        <v>0</v>
      </c>
      <c r="H35" s="93" t="s">
        <v>24</v>
      </c>
      <c r="I35" s="94" t="s">
        <v>24</v>
      </c>
    </row>
    <row r="36" spans="1:9" ht="31.2" x14ac:dyDescent="0.3">
      <c r="A36" s="89" t="s">
        <v>282</v>
      </c>
      <c r="B36" s="21" t="s">
        <v>281</v>
      </c>
      <c r="C36" s="13" t="s">
        <v>283</v>
      </c>
      <c r="D36" s="338" t="s">
        <v>24</v>
      </c>
      <c r="E36" s="15" t="s">
        <v>24</v>
      </c>
      <c r="F36" s="15" t="s">
        <v>24</v>
      </c>
      <c r="G36" s="99"/>
      <c r="H36" s="15" t="s">
        <v>24</v>
      </c>
      <c r="I36" s="22" t="s">
        <v>24</v>
      </c>
    </row>
    <row r="37" spans="1:9" s="85" customFormat="1" ht="16.2" x14ac:dyDescent="0.35">
      <c r="A37" s="90" t="s">
        <v>66</v>
      </c>
      <c r="B37" s="91" t="s">
        <v>40</v>
      </c>
      <c r="C37" s="92"/>
      <c r="D37" s="335">
        <f>D38+D39</f>
        <v>0</v>
      </c>
      <c r="E37" s="103">
        <f t="shared" ref="E37:I37" si="8">E38+E39</f>
        <v>0</v>
      </c>
      <c r="F37" s="103">
        <f t="shared" si="8"/>
        <v>0</v>
      </c>
      <c r="G37" s="103">
        <f t="shared" si="8"/>
        <v>0</v>
      </c>
      <c r="H37" s="103">
        <f t="shared" si="8"/>
        <v>0</v>
      </c>
      <c r="I37" s="104">
        <f t="shared" si="8"/>
        <v>0</v>
      </c>
    </row>
    <row r="38" spans="1:9" ht="31.2" x14ac:dyDescent="0.3">
      <c r="A38" s="89" t="s">
        <v>284</v>
      </c>
      <c r="B38" s="21" t="s">
        <v>560</v>
      </c>
      <c r="C38" s="13" t="s">
        <v>285</v>
      </c>
      <c r="D38" s="101">
        <f t="shared" ref="D38" si="9">E38+F38+G38+H38</f>
        <v>0</v>
      </c>
      <c r="E38" s="98"/>
      <c r="F38" s="98"/>
      <c r="G38" s="98"/>
      <c r="H38" s="98"/>
      <c r="I38" s="100"/>
    </row>
    <row r="39" spans="1:9" ht="31.2" x14ac:dyDescent="0.3">
      <c r="A39" s="89" t="s">
        <v>288</v>
      </c>
      <c r="B39" s="21" t="s">
        <v>561</v>
      </c>
      <c r="C39" s="13" t="s">
        <v>289</v>
      </c>
      <c r="D39" s="336">
        <f>SUM(D40:D48)</f>
        <v>0</v>
      </c>
      <c r="E39" s="101">
        <f t="shared" ref="E39:I39" si="10">SUM(E40:E48)</f>
        <v>0</v>
      </c>
      <c r="F39" s="101">
        <f t="shared" si="10"/>
        <v>0</v>
      </c>
      <c r="G39" s="101">
        <f t="shared" si="10"/>
        <v>0</v>
      </c>
      <c r="H39" s="101">
        <f t="shared" si="10"/>
        <v>0</v>
      </c>
      <c r="I39" s="102">
        <f t="shared" si="10"/>
        <v>0</v>
      </c>
    </row>
    <row r="40" spans="1:9" ht="31.2" x14ac:dyDescent="0.3">
      <c r="A40" s="95" t="s">
        <v>291</v>
      </c>
      <c r="B40" s="21"/>
      <c r="C40" s="13" t="s">
        <v>289</v>
      </c>
      <c r="D40" s="101">
        <f t="shared" ref="D40:D48" si="11">E40+F40+G40+H40</f>
        <v>0</v>
      </c>
      <c r="E40" s="98"/>
      <c r="F40" s="98"/>
      <c r="G40" s="98"/>
      <c r="H40" s="98"/>
      <c r="I40" s="100"/>
    </row>
    <row r="41" spans="1:9" x14ac:dyDescent="0.3">
      <c r="A41" s="95" t="s">
        <v>193</v>
      </c>
      <c r="B41" s="21"/>
      <c r="C41" s="13" t="s">
        <v>289</v>
      </c>
      <c r="D41" s="101">
        <f t="shared" si="11"/>
        <v>0</v>
      </c>
      <c r="E41" s="98"/>
      <c r="F41" s="98"/>
      <c r="G41" s="98"/>
      <c r="H41" s="98"/>
      <c r="I41" s="100"/>
    </row>
    <row r="42" spans="1:9" x14ac:dyDescent="0.3">
      <c r="A42" s="95" t="s">
        <v>290</v>
      </c>
      <c r="B42" s="21"/>
      <c r="C42" s="13" t="s">
        <v>289</v>
      </c>
      <c r="D42" s="101">
        <f t="shared" si="11"/>
        <v>0</v>
      </c>
      <c r="E42" s="98"/>
      <c r="F42" s="98"/>
      <c r="G42" s="98"/>
      <c r="H42" s="98"/>
      <c r="I42" s="100"/>
    </row>
    <row r="43" spans="1:9" x14ac:dyDescent="0.3">
      <c r="A43" s="95" t="s">
        <v>200</v>
      </c>
      <c r="B43" s="21"/>
      <c r="C43" s="13" t="s">
        <v>289</v>
      </c>
      <c r="D43" s="101">
        <f t="shared" si="11"/>
        <v>0</v>
      </c>
      <c r="E43" s="98"/>
      <c r="F43" s="98"/>
      <c r="G43" s="98"/>
      <c r="H43" s="98"/>
      <c r="I43" s="100"/>
    </row>
    <row r="44" spans="1:9" x14ac:dyDescent="0.3">
      <c r="A44" s="95" t="s">
        <v>202</v>
      </c>
      <c r="B44" s="21"/>
      <c r="C44" s="13" t="s">
        <v>289</v>
      </c>
      <c r="D44" s="101">
        <f t="shared" si="11"/>
        <v>0</v>
      </c>
      <c r="E44" s="98"/>
      <c r="F44" s="98"/>
      <c r="G44" s="98"/>
      <c r="H44" s="98"/>
      <c r="I44" s="100"/>
    </row>
    <row r="45" spans="1:9" x14ac:dyDescent="0.3">
      <c r="A45" s="95" t="s">
        <v>204</v>
      </c>
      <c r="B45" s="21"/>
      <c r="C45" s="13" t="s">
        <v>289</v>
      </c>
      <c r="D45" s="101">
        <f t="shared" si="11"/>
        <v>0</v>
      </c>
      <c r="E45" s="98"/>
      <c r="F45" s="98"/>
      <c r="G45" s="98"/>
      <c r="H45" s="98"/>
      <c r="I45" s="100"/>
    </row>
    <row r="46" spans="1:9" x14ac:dyDescent="0.3">
      <c r="A46" s="95" t="s">
        <v>207</v>
      </c>
      <c r="B46" s="21"/>
      <c r="C46" s="13" t="s">
        <v>289</v>
      </c>
      <c r="D46" s="101">
        <f t="shared" si="11"/>
        <v>0</v>
      </c>
      <c r="E46" s="98"/>
      <c r="F46" s="98"/>
      <c r="G46" s="98"/>
      <c r="H46" s="98"/>
      <c r="I46" s="100"/>
    </row>
    <row r="47" spans="1:9" x14ac:dyDescent="0.3">
      <c r="A47" s="95" t="s">
        <v>209</v>
      </c>
      <c r="B47" s="21"/>
      <c r="C47" s="13" t="s">
        <v>289</v>
      </c>
      <c r="D47" s="101">
        <f t="shared" si="11"/>
        <v>0</v>
      </c>
      <c r="E47" s="98"/>
      <c r="F47" s="98"/>
      <c r="G47" s="98"/>
      <c r="H47" s="98"/>
      <c r="I47" s="100"/>
    </row>
    <row r="48" spans="1:9" x14ac:dyDescent="0.3">
      <c r="A48" s="95" t="s">
        <v>292</v>
      </c>
      <c r="B48" s="21"/>
      <c r="C48" s="13" t="s">
        <v>289</v>
      </c>
      <c r="D48" s="101">
        <f t="shared" si="11"/>
        <v>0</v>
      </c>
      <c r="E48" s="98"/>
      <c r="F48" s="98"/>
      <c r="G48" s="98"/>
      <c r="H48" s="98"/>
      <c r="I48" s="100"/>
    </row>
    <row r="49" spans="1:9" s="85" customFormat="1" ht="16.2" x14ac:dyDescent="0.35">
      <c r="A49" s="90" t="s">
        <v>67</v>
      </c>
      <c r="B49" s="91" t="s">
        <v>41</v>
      </c>
      <c r="C49" s="92" t="s">
        <v>34</v>
      </c>
      <c r="D49" s="335">
        <f>SUM(D50:D51)</f>
        <v>0</v>
      </c>
      <c r="E49" s="103">
        <f t="shared" ref="E49:I49" si="12">SUM(E50:E51)</f>
        <v>0</v>
      </c>
      <c r="F49" s="103">
        <f t="shared" si="12"/>
        <v>0</v>
      </c>
      <c r="G49" s="103">
        <f t="shared" si="12"/>
        <v>0</v>
      </c>
      <c r="H49" s="103">
        <f t="shared" si="12"/>
        <v>0</v>
      </c>
      <c r="I49" s="104">
        <f t="shared" si="12"/>
        <v>0</v>
      </c>
    </row>
    <row r="50" spans="1:9" ht="31.2" x14ac:dyDescent="0.3">
      <c r="A50" s="89" t="s">
        <v>284</v>
      </c>
      <c r="B50" s="21" t="s">
        <v>286</v>
      </c>
      <c r="C50" s="13" t="s">
        <v>285</v>
      </c>
      <c r="D50" s="101">
        <f t="shared" ref="D50" si="13">E50+F50+G50+H50</f>
        <v>0</v>
      </c>
      <c r="E50" s="98"/>
      <c r="F50" s="98"/>
      <c r="G50" s="98"/>
      <c r="H50" s="98"/>
      <c r="I50" s="100"/>
    </row>
    <row r="51" spans="1:9" ht="31.2" x14ac:dyDescent="0.3">
      <c r="A51" s="89" t="s">
        <v>288</v>
      </c>
      <c r="B51" s="21" t="s">
        <v>287</v>
      </c>
      <c r="C51" s="13" t="s">
        <v>289</v>
      </c>
      <c r="D51" s="336">
        <f>SUM(D52:D60)</f>
        <v>0</v>
      </c>
      <c r="E51" s="101">
        <f t="shared" ref="E51:I51" si="14">SUM(E52:E60)</f>
        <v>0</v>
      </c>
      <c r="F51" s="101">
        <f t="shared" si="14"/>
        <v>0</v>
      </c>
      <c r="G51" s="101">
        <f t="shared" si="14"/>
        <v>0</v>
      </c>
      <c r="H51" s="101">
        <f t="shared" si="14"/>
        <v>0</v>
      </c>
      <c r="I51" s="102">
        <f t="shared" si="14"/>
        <v>0</v>
      </c>
    </row>
    <row r="52" spans="1:9" ht="31.2" x14ac:dyDescent="0.3">
      <c r="A52" s="95" t="s">
        <v>291</v>
      </c>
      <c r="B52" s="21"/>
      <c r="C52" s="13" t="s">
        <v>289</v>
      </c>
      <c r="D52" s="101">
        <f t="shared" ref="D52:D59" si="15">E52+F52+G52+H52</f>
        <v>0</v>
      </c>
      <c r="E52" s="98"/>
      <c r="F52" s="98"/>
      <c r="G52" s="98"/>
      <c r="H52" s="98"/>
      <c r="I52" s="100"/>
    </row>
    <row r="53" spans="1:9" x14ac:dyDescent="0.3">
      <c r="A53" s="95" t="s">
        <v>193</v>
      </c>
      <c r="B53" s="21"/>
      <c r="C53" s="13" t="s">
        <v>289</v>
      </c>
      <c r="D53" s="101">
        <f t="shared" si="15"/>
        <v>0</v>
      </c>
      <c r="E53" s="98"/>
      <c r="F53" s="98"/>
      <c r="G53" s="98"/>
      <c r="H53" s="98"/>
      <c r="I53" s="100"/>
    </row>
    <row r="54" spans="1:9" x14ac:dyDescent="0.3">
      <c r="A54" s="95" t="s">
        <v>290</v>
      </c>
      <c r="B54" s="21"/>
      <c r="C54" s="13" t="s">
        <v>289</v>
      </c>
      <c r="D54" s="101">
        <f t="shared" si="15"/>
        <v>0</v>
      </c>
      <c r="E54" s="98"/>
      <c r="F54" s="98"/>
      <c r="G54" s="98"/>
      <c r="H54" s="98"/>
      <c r="I54" s="100"/>
    </row>
    <row r="55" spans="1:9" x14ac:dyDescent="0.3">
      <c r="A55" s="95" t="s">
        <v>200</v>
      </c>
      <c r="B55" s="21"/>
      <c r="C55" s="13" t="s">
        <v>289</v>
      </c>
      <c r="D55" s="101">
        <f t="shared" si="15"/>
        <v>0</v>
      </c>
      <c r="E55" s="98"/>
      <c r="F55" s="98"/>
      <c r="G55" s="98"/>
      <c r="H55" s="98"/>
      <c r="I55" s="100"/>
    </row>
    <row r="56" spans="1:9" x14ac:dyDescent="0.3">
      <c r="A56" s="95" t="s">
        <v>202</v>
      </c>
      <c r="B56" s="21"/>
      <c r="C56" s="13" t="s">
        <v>289</v>
      </c>
      <c r="D56" s="101">
        <f t="shared" si="15"/>
        <v>0</v>
      </c>
      <c r="E56" s="98"/>
      <c r="F56" s="98"/>
      <c r="G56" s="98"/>
      <c r="H56" s="98"/>
      <c r="I56" s="100"/>
    </row>
    <row r="57" spans="1:9" x14ac:dyDescent="0.3">
      <c r="A57" s="95" t="s">
        <v>204</v>
      </c>
      <c r="B57" s="21"/>
      <c r="C57" s="13" t="s">
        <v>289</v>
      </c>
      <c r="D57" s="101">
        <f t="shared" si="15"/>
        <v>0</v>
      </c>
      <c r="E57" s="98"/>
      <c r="F57" s="98"/>
      <c r="G57" s="98"/>
      <c r="H57" s="98"/>
      <c r="I57" s="100"/>
    </row>
    <row r="58" spans="1:9" x14ac:dyDescent="0.3">
      <c r="A58" s="95" t="s">
        <v>207</v>
      </c>
      <c r="B58" s="21"/>
      <c r="C58" s="13" t="s">
        <v>289</v>
      </c>
      <c r="D58" s="101">
        <f t="shared" si="15"/>
        <v>0</v>
      </c>
      <c r="E58" s="98"/>
      <c r="F58" s="98"/>
      <c r="G58" s="98"/>
      <c r="H58" s="98"/>
      <c r="I58" s="100"/>
    </row>
    <row r="59" spans="1:9" x14ac:dyDescent="0.3">
      <c r="A59" s="95" t="s">
        <v>209</v>
      </c>
      <c r="B59" s="21"/>
      <c r="C59" s="13" t="s">
        <v>289</v>
      </c>
      <c r="D59" s="101">
        <f t="shared" si="15"/>
        <v>0</v>
      </c>
      <c r="E59" s="98"/>
      <c r="F59" s="98"/>
      <c r="G59" s="98"/>
      <c r="H59" s="98"/>
      <c r="I59" s="100"/>
    </row>
    <row r="60" spans="1:9" x14ac:dyDescent="0.3">
      <c r="A60" s="95" t="s">
        <v>292</v>
      </c>
      <c r="B60" s="21"/>
      <c r="C60" s="13" t="s">
        <v>289</v>
      </c>
      <c r="D60" s="336">
        <f t="shared" ref="D60" si="16">E60++F60+G60+H60</f>
        <v>0</v>
      </c>
      <c r="E60" s="98"/>
      <c r="F60" s="98"/>
      <c r="G60" s="98"/>
      <c r="H60" s="98"/>
      <c r="I60" s="100"/>
    </row>
    <row r="61" spans="1:9" s="85" customFormat="1" ht="16.2" x14ac:dyDescent="0.35">
      <c r="A61" s="90" t="s">
        <v>68</v>
      </c>
      <c r="B61" s="91" t="s">
        <v>42</v>
      </c>
      <c r="C61" s="92" t="s">
        <v>50</v>
      </c>
      <c r="D61" s="103">
        <f>SUM(D62:D63)</f>
        <v>0</v>
      </c>
      <c r="E61" s="103">
        <f t="shared" ref="E61:I61" si="17">SUM(E62:E63)</f>
        <v>0</v>
      </c>
      <c r="F61" s="103">
        <f t="shared" si="17"/>
        <v>0</v>
      </c>
      <c r="G61" s="103">
        <f t="shared" si="17"/>
        <v>0</v>
      </c>
      <c r="H61" s="103">
        <f t="shared" si="17"/>
        <v>0</v>
      </c>
      <c r="I61" s="104">
        <f t="shared" si="17"/>
        <v>0</v>
      </c>
    </row>
    <row r="62" spans="1:9" ht="31.2" x14ac:dyDescent="0.3">
      <c r="A62" s="89" t="s">
        <v>293</v>
      </c>
      <c r="B62" s="21" t="s">
        <v>43</v>
      </c>
      <c r="C62" s="13" t="s">
        <v>233</v>
      </c>
      <c r="D62" s="101">
        <f t="shared" ref="D62:D63" si="18">E62+F62+G62+H62</f>
        <v>0</v>
      </c>
      <c r="E62" s="98"/>
      <c r="F62" s="98"/>
      <c r="G62" s="98"/>
      <c r="H62" s="98"/>
      <c r="I62" s="100"/>
    </row>
    <row r="63" spans="1:9" x14ac:dyDescent="0.3">
      <c r="A63" s="89" t="s">
        <v>44</v>
      </c>
      <c r="B63" s="21" t="s">
        <v>45</v>
      </c>
      <c r="C63" s="13"/>
      <c r="D63" s="101">
        <f t="shared" si="18"/>
        <v>0</v>
      </c>
      <c r="E63" s="98"/>
      <c r="F63" s="98"/>
      <c r="G63" s="98"/>
      <c r="H63" s="98"/>
      <c r="I63" s="100"/>
    </row>
    <row r="64" spans="1:9" s="85" customFormat="1" ht="16.2" x14ac:dyDescent="0.35">
      <c r="A64" s="90" t="s">
        <v>69</v>
      </c>
      <c r="B64" s="91" t="s">
        <v>46</v>
      </c>
      <c r="C64" s="92" t="s">
        <v>51</v>
      </c>
      <c r="D64" s="103">
        <f>SUM(D65:D66)</f>
        <v>0</v>
      </c>
      <c r="E64" s="103">
        <f t="shared" ref="E64:I64" si="19">SUM(E65:E66)</f>
        <v>0</v>
      </c>
      <c r="F64" s="103">
        <f t="shared" si="19"/>
        <v>0</v>
      </c>
      <c r="G64" s="103">
        <f t="shared" si="19"/>
        <v>0</v>
      </c>
      <c r="H64" s="103">
        <f t="shared" si="19"/>
        <v>0</v>
      </c>
      <c r="I64" s="104">
        <f t="shared" si="19"/>
        <v>0</v>
      </c>
    </row>
    <row r="65" spans="1:9" ht="31.2" x14ac:dyDescent="0.3">
      <c r="A65" s="89" t="s">
        <v>294</v>
      </c>
      <c r="B65" s="21" t="s">
        <v>47</v>
      </c>
      <c r="C65" s="13" t="s">
        <v>295</v>
      </c>
      <c r="D65" s="101">
        <f t="shared" ref="D65:D67" si="20">E65+F65+G65+H65</f>
        <v>0</v>
      </c>
      <c r="E65" s="98"/>
      <c r="F65" s="98"/>
      <c r="G65" s="98"/>
      <c r="H65" s="98"/>
      <c r="I65" s="100"/>
    </row>
    <row r="66" spans="1:9" x14ac:dyDescent="0.3">
      <c r="A66" s="89" t="s">
        <v>48</v>
      </c>
      <c r="B66" s="21" t="s">
        <v>49</v>
      </c>
      <c r="C66" s="13"/>
      <c r="D66" s="101">
        <f t="shared" si="20"/>
        <v>0</v>
      </c>
      <c r="E66" s="98"/>
      <c r="F66" s="98"/>
      <c r="G66" s="98"/>
      <c r="H66" s="98"/>
      <c r="I66" s="100"/>
    </row>
    <row r="67" spans="1:9" x14ac:dyDescent="0.3">
      <c r="A67" s="16" t="s">
        <v>70</v>
      </c>
      <c r="B67" s="23" t="s">
        <v>50</v>
      </c>
      <c r="C67" s="13" t="s">
        <v>24</v>
      </c>
      <c r="D67" s="101">
        <f t="shared" si="20"/>
        <v>0</v>
      </c>
      <c r="E67" s="101"/>
      <c r="F67" s="101"/>
      <c r="G67" s="101"/>
      <c r="H67" s="101"/>
      <c r="I67" s="102"/>
    </row>
    <row r="68" spans="1:9" ht="16.2" thickBot="1" x14ac:dyDescent="0.35">
      <c r="A68" s="16" t="s">
        <v>71</v>
      </c>
      <c r="B68" s="24" t="s">
        <v>51</v>
      </c>
      <c r="C68" s="25" t="s">
        <v>24</v>
      </c>
      <c r="D68" s="105">
        <f t="shared" ref="D68" si="21">D67+D12-D20</f>
        <v>0</v>
      </c>
      <c r="E68" s="105">
        <f t="shared" ref="E68:I68" si="22">E67+E12-E20</f>
        <v>0</v>
      </c>
      <c r="F68" s="105">
        <f t="shared" si="22"/>
        <v>0</v>
      </c>
      <c r="G68" s="105">
        <f t="shared" si="22"/>
        <v>0</v>
      </c>
      <c r="H68" s="105">
        <f t="shared" si="22"/>
        <v>0</v>
      </c>
      <c r="I68" s="106">
        <f t="shared" si="22"/>
        <v>0</v>
      </c>
    </row>
    <row r="70" spans="1:9" x14ac:dyDescent="0.3">
      <c r="C70" s="363"/>
      <c r="D70" s="363"/>
      <c r="E70" s="363"/>
      <c r="F70" s="363"/>
      <c r="G70" s="363"/>
      <c r="H70" s="363"/>
      <c r="I70" s="363"/>
    </row>
    <row r="71" spans="1:9" x14ac:dyDescent="0.3">
      <c r="A71" s="109" t="s">
        <v>175</v>
      </c>
      <c r="C71" s="524"/>
      <c r="D71" s="524"/>
      <c r="E71" s="363"/>
      <c r="F71" s="524" t="s">
        <v>911</v>
      </c>
      <c r="G71" s="524"/>
      <c r="H71" s="363"/>
      <c r="I71" s="363"/>
    </row>
    <row r="72" spans="1:9" x14ac:dyDescent="0.3">
      <c r="A72" s="110"/>
      <c r="B72" s="55"/>
      <c r="C72" s="525" t="s">
        <v>96</v>
      </c>
      <c r="D72" s="525"/>
      <c r="E72" s="363"/>
      <c r="F72" s="525" t="s">
        <v>97</v>
      </c>
      <c r="G72" s="525"/>
      <c r="H72" s="363"/>
      <c r="I72" s="363"/>
    </row>
    <row r="73" spans="1:9" x14ac:dyDescent="0.3">
      <c r="A73" s="108" t="s">
        <v>154</v>
      </c>
      <c r="B73" s="55"/>
      <c r="C73" s="432"/>
      <c r="D73" s="363"/>
      <c r="E73" s="363"/>
      <c r="F73" s="363"/>
      <c r="G73" s="432"/>
      <c r="H73" s="363"/>
      <c r="I73" s="363"/>
    </row>
    <row r="74" spans="1:9" x14ac:dyDescent="0.3">
      <c r="A74" s="109" t="s">
        <v>296</v>
      </c>
      <c r="C74" s="524"/>
      <c r="D74" s="524"/>
      <c r="E74" s="363"/>
      <c r="F74" s="524" t="s">
        <v>811</v>
      </c>
      <c r="G74" s="524"/>
      <c r="H74" s="363"/>
      <c r="I74" s="363"/>
    </row>
    <row r="75" spans="1:9" x14ac:dyDescent="0.3">
      <c r="A75" s="109"/>
      <c r="C75" s="525" t="s">
        <v>96</v>
      </c>
      <c r="D75" s="525"/>
      <c r="E75" s="363"/>
      <c r="F75" s="525" t="s">
        <v>97</v>
      </c>
      <c r="G75" s="525"/>
      <c r="H75" s="363"/>
      <c r="I75" s="363"/>
    </row>
    <row r="76" spans="1:9" x14ac:dyDescent="0.3">
      <c r="A76" s="110"/>
      <c r="C76" s="363"/>
      <c r="D76" s="363"/>
      <c r="E76" s="363"/>
      <c r="F76" s="363"/>
      <c r="G76" s="363"/>
      <c r="H76" s="363"/>
      <c r="I76" s="363"/>
    </row>
    <row r="77" spans="1:9" x14ac:dyDescent="0.3">
      <c r="A77" s="109" t="s">
        <v>297</v>
      </c>
      <c r="C77" s="524" t="s">
        <v>910</v>
      </c>
      <c r="D77" s="524"/>
      <c r="E77" s="427"/>
      <c r="F77" s="524" t="s">
        <v>811</v>
      </c>
      <c r="G77" s="524"/>
      <c r="H77" s="524" t="s">
        <v>912</v>
      </c>
      <c r="I77" s="524"/>
    </row>
    <row r="78" spans="1:9" x14ac:dyDescent="0.3">
      <c r="A78" s="109" t="str">
        <f>'Таблица 2 (2018)'!A78</f>
        <v>« 06 » апреля 2018 года</v>
      </c>
      <c r="C78" s="525" t="s">
        <v>152</v>
      </c>
      <c r="D78" s="525"/>
      <c r="E78" s="414" t="s">
        <v>96</v>
      </c>
      <c r="F78" s="525" t="s">
        <v>298</v>
      </c>
      <c r="G78" s="525"/>
      <c r="H78" s="525" t="s">
        <v>176</v>
      </c>
      <c r="I78" s="525"/>
    </row>
    <row r="79" spans="1:9" x14ac:dyDescent="0.3">
      <c r="C79" s="363"/>
      <c r="D79" s="363"/>
      <c r="E79" s="363"/>
      <c r="F79" s="363"/>
      <c r="G79" s="363"/>
      <c r="H79" s="363"/>
      <c r="I79" s="363"/>
    </row>
    <row r="80" spans="1:9" x14ac:dyDescent="0.3">
      <c r="C80" s="363"/>
      <c r="D80" s="363"/>
      <c r="E80" s="363"/>
      <c r="F80" s="363"/>
      <c r="G80" s="363"/>
      <c r="H80" s="363"/>
      <c r="I80" s="363"/>
    </row>
    <row r="81" spans="3:9" x14ac:dyDescent="0.3">
      <c r="C81" s="363"/>
      <c r="D81" s="363"/>
      <c r="E81" s="363"/>
      <c r="F81" s="363"/>
      <c r="G81" s="363"/>
      <c r="H81" s="363"/>
      <c r="I81" s="363"/>
    </row>
  </sheetData>
  <mergeCells count="27">
    <mergeCell ref="A2:I2"/>
    <mergeCell ref="A3:I4"/>
    <mergeCell ref="A5:I5"/>
    <mergeCell ref="A7:A10"/>
    <mergeCell ref="B7:B10"/>
    <mergeCell ref="C7:C10"/>
    <mergeCell ref="D7:I7"/>
    <mergeCell ref="D8:D10"/>
    <mergeCell ref="E8:I8"/>
    <mergeCell ref="E9:E10"/>
    <mergeCell ref="F9:F10"/>
    <mergeCell ref="G9:G10"/>
    <mergeCell ref="H9:I9"/>
    <mergeCell ref="F71:G71"/>
    <mergeCell ref="H77:I77"/>
    <mergeCell ref="C78:D78"/>
    <mergeCell ref="F78:G78"/>
    <mergeCell ref="H78:I78"/>
    <mergeCell ref="C74:D74"/>
    <mergeCell ref="F74:G74"/>
    <mergeCell ref="C75:D75"/>
    <mergeCell ref="F75:G75"/>
    <mergeCell ref="C77:D77"/>
    <mergeCell ref="F77:G77"/>
    <mergeCell ref="C72:D72"/>
    <mergeCell ref="F72:G72"/>
    <mergeCell ref="C71:D71"/>
  </mergeCells>
  <printOptions horizontalCentered="1"/>
  <pageMargins left="0.78740157480314965" right="0.19685039370078741" top="0.19685039370078741" bottom="0.19685039370078741" header="0.31496062992125984" footer="0.31496062992125984"/>
  <pageSetup paperSize="9" scale="4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zoomScale="80" zoomScaleNormal="80" workbookViewId="0">
      <selection activeCell="F73" sqref="F73"/>
    </sheetView>
  </sheetViews>
  <sheetFormatPr defaultColWidth="9.109375" defaultRowHeight="15.6" x14ac:dyDescent="0.3"/>
  <cols>
    <col min="1" max="1" width="70.6640625" style="12" customWidth="1"/>
    <col min="2" max="2" width="5.88671875" style="1" customWidth="1"/>
    <col min="3" max="3" width="12.88671875" style="1" customWidth="1"/>
    <col min="4" max="9" width="15.6640625" style="1" customWidth="1"/>
    <col min="10" max="16384" width="9.109375" style="57"/>
  </cols>
  <sheetData>
    <row r="1" spans="1:9" x14ac:dyDescent="0.3">
      <c r="I1" s="2" t="s">
        <v>794</v>
      </c>
    </row>
    <row r="2" spans="1:9" ht="17.399999999999999" x14ac:dyDescent="0.3">
      <c r="A2" s="520" t="s">
        <v>248</v>
      </c>
      <c r="B2" s="520"/>
      <c r="C2" s="520"/>
      <c r="D2" s="520"/>
      <c r="E2" s="520"/>
      <c r="F2" s="520"/>
      <c r="G2" s="520"/>
      <c r="H2" s="520"/>
      <c r="I2" s="520"/>
    </row>
    <row r="3" spans="1:9" ht="18.75" customHeight="1" x14ac:dyDescent="0.3">
      <c r="A3" s="523" t="str">
        <f>'Заголовочная часть'!B14</f>
        <v>Областное государственное бюджетное профессиональное образовательное учреждение "Костромской автодорожный колледж"</v>
      </c>
      <c r="B3" s="523"/>
      <c r="C3" s="523"/>
      <c r="D3" s="523"/>
      <c r="E3" s="523"/>
      <c r="F3" s="523"/>
      <c r="G3" s="523"/>
      <c r="H3" s="523"/>
      <c r="I3" s="523"/>
    </row>
    <row r="4" spans="1:9" ht="18.75" customHeight="1" x14ac:dyDescent="0.3">
      <c r="A4" s="523"/>
      <c r="B4" s="523"/>
      <c r="C4" s="523"/>
      <c r="D4" s="523"/>
      <c r="E4" s="523"/>
      <c r="F4" s="523"/>
      <c r="G4" s="523"/>
      <c r="H4" s="523"/>
      <c r="I4" s="523"/>
    </row>
    <row r="5" spans="1:9" ht="17.399999999999999" x14ac:dyDescent="0.3">
      <c r="A5" s="520" t="s">
        <v>793</v>
      </c>
      <c r="B5" s="520"/>
      <c r="C5" s="520"/>
      <c r="D5" s="520"/>
      <c r="E5" s="520"/>
      <c r="F5" s="520"/>
      <c r="G5" s="520"/>
      <c r="H5" s="520"/>
      <c r="I5" s="520"/>
    </row>
    <row r="7" spans="1:9" s="58" customFormat="1" x14ac:dyDescent="0.3">
      <c r="A7" s="522" t="s">
        <v>2</v>
      </c>
      <c r="B7" s="522" t="s">
        <v>52</v>
      </c>
      <c r="C7" s="522" t="s">
        <v>53</v>
      </c>
      <c r="D7" s="521" t="s">
        <v>21</v>
      </c>
      <c r="E7" s="521"/>
      <c r="F7" s="521"/>
      <c r="G7" s="521"/>
      <c r="H7" s="521"/>
      <c r="I7" s="521"/>
    </row>
    <row r="8" spans="1:9" s="58" customFormat="1" x14ac:dyDescent="0.3">
      <c r="A8" s="522"/>
      <c r="B8" s="522"/>
      <c r="C8" s="522"/>
      <c r="D8" s="522" t="s">
        <v>22</v>
      </c>
      <c r="E8" s="521" t="s">
        <v>6</v>
      </c>
      <c r="F8" s="521"/>
      <c r="G8" s="521"/>
      <c r="H8" s="521"/>
      <c r="I8" s="521"/>
    </row>
    <row r="9" spans="1:9" s="58" customFormat="1" ht="148.5" customHeight="1" x14ac:dyDescent="0.3">
      <c r="A9" s="522"/>
      <c r="B9" s="522"/>
      <c r="C9" s="522"/>
      <c r="D9" s="522"/>
      <c r="E9" s="522" t="s">
        <v>372</v>
      </c>
      <c r="F9" s="522" t="s">
        <v>54</v>
      </c>
      <c r="G9" s="522" t="s">
        <v>55</v>
      </c>
      <c r="H9" s="522" t="s">
        <v>56</v>
      </c>
      <c r="I9" s="522"/>
    </row>
    <row r="10" spans="1:9" s="58" customFormat="1" ht="51.75" customHeight="1" x14ac:dyDescent="0.3">
      <c r="A10" s="522"/>
      <c r="B10" s="522"/>
      <c r="C10" s="522"/>
      <c r="D10" s="522"/>
      <c r="E10" s="522"/>
      <c r="F10" s="522"/>
      <c r="G10" s="522"/>
      <c r="H10" s="290" t="s">
        <v>22</v>
      </c>
      <c r="I10" s="290" t="s">
        <v>57</v>
      </c>
    </row>
    <row r="11" spans="1:9" s="58" customFormat="1" ht="16.2" thickBot="1" x14ac:dyDescent="0.35">
      <c r="A11" s="291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9</v>
      </c>
      <c r="I11" s="166">
        <v>10</v>
      </c>
    </row>
    <row r="12" spans="1:9" s="58" customFormat="1" x14ac:dyDescent="0.3">
      <c r="A12" s="16" t="s">
        <v>58</v>
      </c>
      <c r="B12" s="19" t="s">
        <v>23</v>
      </c>
      <c r="C12" s="20" t="s">
        <v>24</v>
      </c>
      <c r="D12" s="96">
        <f t="shared" ref="D12" si="0">SUM(D13:D19)</f>
        <v>0</v>
      </c>
      <c r="E12" s="96">
        <f t="shared" ref="E12:I12" si="1">SUM(E13:E19)</f>
        <v>0</v>
      </c>
      <c r="F12" s="96">
        <f t="shared" si="1"/>
        <v>0</v>
      </c>
      <c r="G12" s="96">
        <f t="shared" si="1"/>
        <v>0</v>
      </c>
      <c r="H12" s="96">
        <f t="shared" si="1"/>
        <v>0</v>
      </c>
      <c r="I12" s="97">
        <f t="shared" si="1"/>
        <v>0</v>
      </c>
    </row>
    <row r="13" spans="1:9" ht="31.2" x14ac:dyDescent="0.3">
      <c r="A13" s="17" t="s">
        <v>59</v>
      </c>
      <c r="B13" s="21" t="s">
        <v>25</v>
      </c>
      <c r="C13" s="13" t="s">
        <v>26</v>
      </c>
      <c r="D13" s="101">
        <f>H13</f>
        <v>0</v>
      </c>
      <c r="E13" s="15" t="s">
        <v>24</v>
      </c>
      <c r="F13" s="15" t="s">
        <v>24</v>
      </c>
      <c r="G13" s="15" t="s">
        <v>24</v>
      </c>
      <c r="H13" s="99"/>
      <c r="I13" s="22" t="s">
        <v>24</v>
      </c>
    </row>
    <row r="14" spans="1:9" x14ac:dyDescent="0.3">
      <c r="A14" s="17" t="s">
        <v>60</v>
      </c>
      <c r="B14" s="21" t="s">
        <v>26</v>
      </c>
      <c r="C14" s="13" t="s">
        <v>27</v>
      </c>
      <c r="D14" s="101">
        <f>E14+H14</f>
        <v>0</v>
      </c>
      <c r="E14" s="99"/>
      <c r="F14" s="15" t="s">
        <v>24</v>
      </c>
      <c r="G14" s="15" t="s">
        <v>24</v>
      </c>
      <c r="H14" s="99"/>
      <c r="I14" s="22" t="s">
        <v>24</v>
      </c>
    </row>
    <row r="15" spans="1:9" x14ac:dyDescent="0.3">
      <c r="A15" s="17" t="s">
        <v>61</v>
      </c>
      <c r="B15" s="21" t="s">
        <v>27</v>
      </c>
      <c r="C15" s="13" t="s">
        <v>28</v>
      </c>
      <c r="D15" s="101">
        <f>H15</f>
        <v>0</v>
      </c>
      <c r="E15" s="15" t="s">
        <v>24</v>
      </c>
      <c r="F15" s="15" t="s">
        <v>24</v>
      </c>
      <c r="G15" s="15" t="s">
        <v>24</v>
      </c>
      <c r="H15" s="99"/>
      <c r="I15" s="22" t="s">
        <v>24</v>
      </c>
    </row>
    <row r="16" spans="1:9" ht="46.8" x14ac:dyDescent="0.3">
      <c r="A16" s="17" t="s">
        <v>62</v>
      </c>
      <c r="B16" s="21" t="s">
        <v>28</v>
      </c>
      <c r="C16" s="13" t="s">
        <v>29</v>
      </c>
      <c r="D16" s="101">
        <f>-H16</f>
        <v>0</v>
      </c>
      <c r="E16" s="15" t="s">
        <v>24</v>
      </c>
      <c r="F16" s="15" t="s">
        <v>24</v>
      </c>
      <c r="G16" s="15" t="s">
        <v>24</v>
      </c>
      <c r="H16" s="99"/>
      <c r="I16" s="22" t="s">
        <v>24</v>
      </c>
    </row>
    <row r="17" spans="1:9" x14ac:dyDescent="0.3">
      <c r="A17" s="17" t="s">
        <v>63</v>
      </c>
      <c r="B17" s="21" t="s">
        <v>29</v>
      </c>
      <c r="C17" s="13" t="s">
        <v>32</v>
      </c>
      <c r="D17" s="101">
        <f>F17+G17</f>
        <v>0</v>
      </c>
      <c r="E17" s="15" t="s">
        <v>24</v>
      </c>
      <c r="F17" s="99"/>
      <c r="G17" s="99"/>
      <c r="H17" s="15" t="s">
        <v>24</v>
      </c>
      <c r="I17" s="22" t="s">
        <v>24</v>
      </c>
    </row>
    <row r="18" spans="1:9" x14ac:dyDescent="0.3">
      <c r="A18" s="17" t="s">
        <v>30</v>
      </c>
      <c r="B18" s="21" t="s">
        <v>31</v>
      </c>
      <c r="C18" s="13" t="s">
        <v>32</v>
      </c>
      <c r="D18" s="101">
        <f>H18</f>
        <v>0</v>
      </c>
      <c r="E18" s="15" t="s">
        <v>24</v>
      </c>
      <c r="F18" s="15" t="s">
        <v>24</v>
      </c>
      <c r="G18" s="15" t="s">
        <v>24</v>
      </c>
      <c r="H18" s="99"/>
      <c r="I18" s="107"/>
    </row>
    <row r="19" spans="1:9" x14ac:dyDescent="0.3">
      <c r="A19" s="17" t="s">
        <v>64</v>
      </c>
      <c r="B19" s="21" t="s">
        <v>32</v>
      </c>
      <c r="C19" s="13" t="s">
        <v>24</v>
      </c>
      <c r="D19" s="101">
        <f>H19</f>
        <v>0</v>
      </c>
      <c r="E19" s="15" t="s">
        <v>24</v>
      </c>
      <c r="F19" s="15" t="s">
        <v>24</v>
      </c>
      <c r="G19" s="15" t="s">
        <v>24</v>
      </c>
      <c r="H19" s="99"/>
      <c r="I19" s="22" t="s">
        <v>24</v>
      </c>
    </row>
    <row r="20" spans="1:9" s="58" customFormat="1" x14ac:dyDescent="0.3">
      <c r="A20" s="16" t="s">
        <v>33</v>
      </c>
      <c r="B20" s="23" t="s">
        <v>34</v>
      </c>
      <c r="C20" s="13" t="s">
        <v>229</v>
      </c>
      <c r="D20" s="101">
        <f>D21+D26+D30+D37+D49</f>
        <v>0</v>
      </c>
      <c r="E20" s="101">
        <f>E21+E26+E30+E37+E49</f>
        <v>0</v>
      </c>
      <c r="F20" s="101">
        <f>F21+F26+F30+F37+F49</f>
        <v>0</v>
      </c>
      <c r="G20" s="101">
        <f>G21+G26+G30+G37+G49+G35</f>
        <v>0</v>
      </c>
      <c r="H20" s="101">
        <f>H21+H26+H30+H37+H49</f>
        <v>0</v>
      </c>
      <c r="I20" s="102">
        <f>I21+I26+I30+I37+I49</f>
        <v>0</v>
      </c>
    </row>
    <row r="21" spans="1:9" s="85" customFormat="1" ht="32.4" x14ac:dyDescent="0.35">
      <c r="A21" s="90" t="s">
        <v>65</v>
      </c>
      <c r="B21" s="91" t="s">
        <v>35</v>
      </c>
      <c r="C21" s="92" t="s">
        <v>23</v>
      </c>
      <c r="D21" s="103">
        <f>SUM(D22:D25)</f>
        <v>0</v>
      </c>
      <c r="E21" s="103">
        <f t="shared" ref="E21:I21" si="2">SUM(E22:E25)</f>
        <v>0</v>
      </c>
      <c r="F21" s="103">
        <f t="shared" si="2"/>
        <v>0</v>
      </c>
      <c r="G21" s="103">
        <f t="shared" si="2"/>
        <v>0</v>
      </c>
      <c r="H21" s="103">
        <f t="shared" si="2"/>
        <v>0</v>
      </c>
      <c r="I21" s="104">
        <f t="shared" si="2"/>
        <v>0</v>
      </c>
    </row>
    <row r="22" spans="1:9" ht="31.2" x14ac:dyDescent="0.3">
      <c r="A22" s="89" t="s">
        <v>254</v>
      </c>
      <c r="B22" s="21" t="s">
        <v>36</v>
      </c>
      <c r="C22" s="13" t="s">
        <v>249</v>
      </c>
      <c r="D22" s="101">
        <f>E22+F22+G22+H22</f>
        <v>0</v>
      </c>
      <c r="E22" s="98"/>
      <c r="F22" s="98"/>
      <c r="G22" s="98"/>
      <c r="H22" s="98"/>
      <c r="I22" s="100"/>
    </row>
    <row r="23" spans="1:9" ht="31.2" x14ac:dyDescent="0.3">
      <c r="A23" s="89" t="s">
        <v>253</v>
      </c>
      <c r="B23" s="21" t="s">
        <v>255</v>
      </c>
      <c r="C23" s="13" t="s">
        <v>250</v>
      </c>
      <c r="D23" s="101">
        <f t="shared" ref="D23:D25" si="3">E23+F23+G23+H23</f>
        <v>0</v>
      </c>
      <c r="E23" s="98"/>
      <c r="F23" s="98"/>
      <c r="G23" s="98"/>
      <c r="H23" s="98"/>
      <c r="I23" s="100"/>
    </row>
    <row r="24" spans="1:9" ht="46.8" x14ac:dyDescent="0.3">
      <c r="A24" s="89" t="s">
        <v>258</v>
      </c>
      <c r="B24" s="21" t="s">
        <v>256</v>
      </c>
      <c r="C24" s="13" t="s">
        <v>251</v>
      </c>
      <c r="D24" s="101">
        <f t="shared" si="3"/>
        <v>0</v>
      </c>
      <c r="E24" s="98"/>
      <c r="F24" s="98"/>
      <c r="G24" s="98"/>
      <c r="H24" s="98"/>
      <c r="I24" s="100"/>
    </row>
    <row r="25" spans="1:9" ht="31.2" x14ac:dyDescent="0.3">
      <c r="A25" s="89" t="s">
        <v>259</v>
      </c>
      <c r="B25" s="21" t="s">
        <v>257</v>
      </c>
      <c r="C25" s="13" t="s">
        <v>252</v>
      </c>
      <c r="D25" s="101">
        <f t="shared" si="3"/>
        <v>0</v>
      </c>
      <c r="E25" s="98"/>
      <c r="F25" s="98"/>
      <c r="G25" s="98"/>
      <c r="H25" s="98"/>
      <c r="I25" s="100"/>
    </row>
    <row r="26" spans="1:9" s="85" customFormat="1" ht="16.2" x14ac:dyDescent="0.35">
      <c r="A26" s="90" t="s">
        <v>260</v>
      </c>
      <c r="B26" s="91" t="s">
        <v>37</v>
      </c>
      <c r="C26" s="92" t="s">
        <v>42</v>
      </c>
      <c r="D26" s="335">
        <f>SUM(D27:D29)</f>
        <v>0</v>
      </c>
      <c r="E26" s="103">
        <f t="shared" ref="E26:I26" si="4">SUM(E27:E29)</f>
        <v>0</v>
      </c>
      <c r="F26" s="103">
        <f t="shared" si="4"/>
        <v>0</v>
      </c>
      <c r="G26" s="103">
        <f t="shared" si="4"/>
        <v>0</v>
      </c>
      <c r="H26" s="103">
        <f t="shared" si="4"/>
        <v>0</v>
      </c>
      <c r="I26" s="104">
        <f t="shared" si="4"/>
        <v>0</v>
      </c>
    </row>
    <row r="27" spans="1:9" ht="46.8" x14ac:dyDescent="0.3">
      <c r="A27" s="89" t="s">
        <v>264</v>
      </c>
      <c r="B27" s="21" t="s">
        <v>261</v>
      </c>
      <c r="C27" s="13" t="s">
        <v>265</v>
      </c>
      <c r="D27" s="101">
        <f t="shared" ref="D27:D29" si="5">E27+F27+G27+H27</f>
        <v>0</v>
      </c>
      <c r="E27" s="98"/>
      <c r="F27" s="98"/>
      <c r="G27" s="98"/>
      <c r="H27" s="98"/>
      <c r="I27" s="100"/>
    </row>
    <row r="28" spans="1:9" x14ac:dyDescent="0.3">
      <c r="A28" s="89" t="s">
        <v>266</v>
      </c>
      <c r="B28" s="21" t="s">
        <v>262</v>
      </c>
      <c r="C28" s="13" t="s">
        <v>267</v>
      </c>
      <c r="D28" s="101">
        <f t="shared" si="5"/>
        <v>0</v>
      </c>
      <c r="E28" s="98"/>
      <c r="F28" s="98"/>
      <c r="G28" s="98"/>
      <c r="H28" s="98"/>
      <c r="I28" s="100"/>
    </row>
    <row r="29" spans="1:9" x14ac:dyDescent="0.3">
      <c r="A29" s="89" t="s">
        <v>268</v>
      </c>
      <c r="B29" s="21" t="s">
        <v>263</v>
      </c>
      <c r="C29" s="13" t="s">
        <v>269</v>
      </c>
      <c r="D29" s="101">
        <f t="shared" si="5"/>
        <v>0</v>
      </c>
      <c r="E29" s="98"/>
      <c r="F29" s="98"/>
      <c r="G29" s="98"/>
      <c r="H29" s="98"/>
      <c r="I29" s="100"/>
    </row>
    <row r="30" spans="1:9" s="85" customFormat="1" ht="16.2" x14ac:dyDescent="0.35">
      <c r="A30" s="90" t="s">
        <v>271</v>
      </c>
      <c r="B30" s="91" t="s">
        <v>38</v>
      </c>
      <c r="C30" s="92" t="s">
        <v>272</v>
      </c>
      <c r="D30" s="335">
        <f>SUM(D31:D34)</f>
        <v>0</v>
      </c>
      <c r="E30" s="103">
        <f t="shared" ref="E30:I30" si="6">SUM(E31:E34)</f>
        <v>0</v>
      </c>
      <c r="F30" s="103">
        <f t="shared" si="6"/>
        <v>0</v>
      </c>
      <c r="G30" s="103">
        <f t="shared" si="6"/>
        <v>0</v>
      </c>
      <c r="H30" s="103">
        <f t="shared" si="6"/>
        <v>0</v>
      </c>
      <c r="I30" s="104">
        <f t="shared" si="6"/>
        <v>0</v>
      </c>
    </row>
    <row r="31" spans="1:9" ht="46.8" x14ac:dyDescent="0.3">
      <c r="A31" s="89" t="s">
        <v>275</v>
      </c>
      <c r="B31" s="21"/>
      <c r="C31" s="13" t="s">
        <v>270</v>
      </c>
      <c r="D31" s="336">
        <f>E31+F31+G31+H31</f>
        <v>0</v>
      </c>
      <c r="E31" s="98"/>
      <c r="F31" s="98"/>
      <c r="G31" s="98"/>
      <c r="H31" s="98"/>
      <c r="I31" s="100"/>
    </row>
    <row r="32" spans="1:9" x14ac:dyDescent="0.3">
      <c r="A32" s="89" t="s">
        <v>277</v>
      </c>
      <c r="B32" s="21"/>
      <c r="C32" s="13" t="s">
        <v>273</v>
      </c>
      <c r="D32" s="336">
        <f>E32+F32+G32+H32</f>
        <v>0</v>
      </c>
      <c r="E32" s="98"/>
      <c r="F32" s="98"/>
      <c r="G32" s="98"/>
      <c r="H32" s="98"/>
      <c r="I32" s="100"/>
    </row>
    <row r="33" spans="1:9" x14ac:dyDescent="0.3">
      <c r="A33" s="89" t="s">
        <v>278</v>
      </c>
      <c r="B33" s="21"/>
      <c r="C33" s="13" t="s">
        <v>274</v>
      </c>
      <c r="D33" s="336">
        <f t="shared" ref="D33:D34" si="7">E33+F33+G33+H33</f>
        <v>0</v>
      </c>
      <c r="E33" s="98"/>
      <c r="F33" s="98"/>
      <c r="G33" s="98"/>
      <c r="H33" s="98"/>
      <c r="I33" s="100"/>
    </row>
    <row r="34" spans="1:9" x14ac:dyDescent="0.3">
      <c r="A34" s="89" t="s">
        <v>279</v>
      </c>
      <c r="B34" s="21"/>
      <c r="C34" s="13" t="s">
        <v>276</v>
      </c>
      <c r="D34" s="336">
        <f t="shared" si="7"/>
        <v>0</v>
      </c>
      <c r="E34" s="98"/>
      <c r="F34" s="98"/>
      <c r="G34" s="98"/>
      <c r="H34" s="98"/>
      <c r="I34" s="100"/>
    </row>
    <row r="35" spans="1:9" s="85" customFormat="1" ht="32.4" x14ac:dyDescent="0.35">
      <c r="A35" s="90" t="s">
        <v>280</v>
      </c>
      <c r="B35" s="91" t="s">
        <v>39</v>
      </c>
      <c r="C35" s="92" t="s">
        <v>46</v>
      </c>
      <c r="D35" s="337" t="s">
        <v>24</v>
      </c>
      <c r="E35" s="93" t="s">
        <v>24</v>
      </c>
      <c r="F35" s="93" t="s">
        <v>24</v>
      </c>
      <c r="G35" s="103">
        <f>SUM(G36)</f>
        <v>0</v>
      </c>
      <c r="H35" s="93" t="s">
        <v>24</v>
      </c>
      <c r="I35" s="94" t="s">
        <v>24</v>
      </c>
    </row>
    <row r="36" spans="1:9" ht="31.2" x14ac:dyDescent="0.3">
      <c r="A36" s="89" t="s">
        <v>282</v>
      </c>
      <c r="B36" s="21" t="s">
        <v>281</v>
      </c>
      <c r="C36" s="13" t="s">
        <v>283</v>
      </c>
      <c r="D36" s="338" t="s">
        <v>24</v>
      </c>
      <c r="E36" s="15" t="s">
        <v>24</v>
      </c>
      <c r="F36" s="15" t="s">
        <v>24</v>
      </c>
      <c r="G36" s="99"/>
      <c r="H36" s="15" t="s">
        <v>24</v>
      </c>
      <c r="I36" s="22" t="s">
        <v>24</v>
      </c>
    </row>
    <row r="37" spans="1:9" s="85" customFormat="1" ht="16.2" x14ac:dyDescent="0.35">
      <c r="A37" s="90" t="s">
        <v>66</v>
      </c>
      <c r="B37" s="91" t="s">
        <v>40</v>
      </c>
      <c r="C37" s="92"/>
      <c r="D37" s="335">
        <f>D38+D39</f>
        <v>0</v>
      </c>
      <c r="E37" s="103">
        <f t="shared" ref="E37:I37" si="8">E38+E39</f>
        <v>0</v>
      </c>
      <c r="F37" s="103">
        <f t="shared" si="8"/>
        <v>0</v>
      </c>
      <c r="G37" s="103">
        <f t="shared" si="8"/>
        <v>0</v>
      </c>
      <c r="H37" s="103">
        <f t="shared" si="8"/>
        <v>0</v>
      </c>
      <c r="I37" s="104">
        <f t="shared" si="8"/>
        <v>0</v>
      </c>
    </row>
    <row r="38" spans="1:9" ht="31.2" x14ac:dyDescent="0.3">
      <c r="A38" s="89" t="s">
        <v>284</v>
      </c>
      <c r="B38" s="21" t="s">
        <v>560</v>
      </c>
      <c r="C38" s="13" t="s">
        <v>285</v>
      </c>
      <c r="D38" s="101">
        <f t="shared" ref="D38" si="9">E38+F38+G38+H38</f>
        <v>0</v>
      </c>
      <c r="E38" s="98"/>
      <c r="F38" s="98"/>
      <c r="G38" s="98"/>
      <c r="H38" s="98"/>
      <c r="I38" s="100"/>
    </row>
    <row r="39" spans="1:9" ht="31.2" x14ac:dyDescent="0.3">
      <c r="A39" s="89" t="s">
        <v>288</v>
      </c>
      <c r="B39" s="21" t="s">
        <v>561</v>
      </c>
      <c r="C39" s="13" t="s">
        <v>289</v>
      </c>
      <c r="D39" s="336">
        <f>SUM(D40:D48)</f>
        <v>0</v>
      </c>
      <c r="E39" s="101">
        <f t="shared" ref="E39:I39" si="10">SUM(E40:E48)</f>
        <v>0</v>
      </c>
      <c r="F39" s="101">
        <f t="shared" si="10"/>
        <v>0</v>
      </c>
      <c r="G39" s="101">
        <f t="shared" si="10"/>
        <v>0</v>
      </c>
      <c r="H39" s="101">
        <f t="shared" si="10"/>
        <v>0</v>
      </c>
      <c r="I39" s="102">
        <f t="shared" si="10"/>
        <v>0</v>
      </c>
    </row>
    <row r="40" spans="1:9" ht="31.2" x14ac:dyDescent="0.3">
      <c r="A40" s="95" t="s">
        <v>291</v>
      </c>
      <c r="B40" s="21"/>
      <c r="C40" s="13" t="s">
        <v>289</v>
      </c>
      <c r="D40" s="101">
        <f t="shared" ref="D40:D48" si="11">E40+F40+G40+H40</f>
        <v>0</v>
      </c>
      <c r="E40" s="98"/>
      <c r="F40" s="98"/>
      <c r="G40" s="98"/>
      <c r="H40" s="98"/>
      <c r="I40" s="100"/>
    </row>
    <row r="41" spans="1:9" x14ac:dyDescent="0.3">
      <c r="A41" s="95" t="s">
        <v>193</v>
      </c>
      <c r="B41" s="21"/>
      <c r="C41" s="13" t="s">
        <v>289</v>
      </c>
      <c r="D41" s="101">
        <f t="shared" si="11"/>
        <v>0</v>
      </c>
      <c r="E41" s="98"/>
      <c r="F41" s="98"/>
      <c r="G41" s="98"/>
      <c r="H41" s="98"/>
      <c r="I41" s="100"/>
    </row>
    <row r="42" spans="1:9" x14ac:dyDescent="0.3">
      <c r="A42" s="95" t="s">
        <v>290</v>
      </c>
      <c r="B42" s="21"/>
      <c r="C42" s="13" t="s">
        <v>289</v>
      </c>
      <c r="D42" s="101">
        <f t="shared" si="11"/>
        <v>0</v>
      </c>
      <c r="E42" s="98"/>
      <c r="F42" s="98"/>
      <c r="G42" s="98"/>
      <c r="H42" s="98"/>
      <c r="I42" s="100"/>
    </row>
    <row r="43" spans="1:9" x14ac:dyDescent="0.3">
      <c r="A43" s="95" t="s">
        <v>200</v>
      </c>
      <c r="B43" s="21"/>
      <c r="C43" s="13" t="s">
        <v>289</v>
      </c>
      <c r="D43" s="101">
        <f t="shared" si="11"/>
        <v>0</v>
      </c>
      <c r="E43" s="98"/>
      <c r="F43" s="98"/>
      <c r="G43" s="98"/>
      <c r="H43" s="98"/>
      <c r="I43" s="100"/>
    </row>
    <row r="44" spans="1:9" x14ac:dyDescent="0.3">
      <c r="A44" s="95" t="s">
        <v>202</v>
      </c>
      <c r="B44" s="21"/>
      <c r="C44" s="13" t="s">
        <v>289</v>
      </c>
      <c r="D44" s="101">
        <f t="shared" si="11"/>
        <v>0</v>
      </c>
      <c r="E44" s="98"/>
      <c r="F44" s="98"/>
      <c r="G44" s="98"/>
      <c r="H44" s="98"/>
      <c r="I44" s="100"/>
    </row>
    <row r="45" spans="1:9" x14ac:dyDescent="0.3">
      <c r="A45" s="95" t="s">
        <v>204</v>
      </c>
      <c r="B45" s="21"/>
      <c r="C45" s="13" t="s">
        <v>289</v>
      </c>
      <c r="D45" s="101">
        <f t="shared" si="11"/>
        <v>0</v>
      </c>
      <c r="E45" s="98"/>
      <c r="F45" s="98"/>
      <c r="G45" s="98"/>
      <c r="H45" s="98"/>
      <c r="I45" s="100"/>
    </row>
    <row r="46" spans="1:9" x14ac:dyDescent="0.3">
      <c r="A46" s="95" t="s">
        <v>207</v>
      </c>
      <c r="B46" s="21"/>
      <c r="C46" s="13" t="s">
        <v>289</v>
      </c>
      <c r="D46" s="101">
        <f t="shared" si="11"/>
        <v>0</v>
      </c>
      <c r="E46" s="98"/>
      <c r="F46" s="98"/>
      <c r="G46" s="98"/>
      <c r="H46" s="98"/>
      <c r="I46" s="100"/>
    </row>
    <row r="47" spans="1:9" x14ac:dyDescent="0.3">
      <c r="A47" s="95" t="s">
        <v>209</v>
      </c>
      <c r="B47" s="21"/>
      <c r="C47" s="13" t="s">
        <v>289</v>
      </c>
      <c r="D47" s="101">
        <f t="shared" si="11"/>
        <v>0</v>
      </c>
      <c r="E47" s="98"/>
      <c r="F47" s="98"/>
      <c r="G47" s="98"/>
      <c r="H47" s="98"/>
      <c r="I47" s="100"/>
    </row>
    <row r="48" spans="1:9" x14ac:dyDescent="0.3">
      <c r="A48" s="95" t="s">
        <v>292</v>
      </c>
      <c r="B48" s="21"/>
      <c r="C48" s="13" t="s">
        <v>289</v>
      </c>
      <c r="D48" s="101">
        <f t="shared" si="11"/>
        <v>0</v>
      </c>
      <c r="E48" s="98"/>
      <c r="F48" s="98"/>
      <c r="G48" s="98"/>
      <c r="H48" s="98"/>
      <c r="I48" s="100"/>
    </row>
    <row r="49" spans="1:9" s="85" customFormat="1" ht="16.2" x14ac:dyDescent="0.35">
      <c r="A49" s="90" t="s">
        <v>67</v>
      </c>
      <c r="B49" s="91" t="s">
        <v>41</v>
      </c>
      <c r="C49" s="92" t="s">
        <v>34</v>
      </c>
      <c r="D49" s="335">
        <f>SUM(D50:D51)</f>
        <v>0</v>
      </c>
      <c r="E49" s="103">
        <f t="shared" ref="E49:I49" si="12">SUM(E50:E51)</f>
        <v>0</v>
      </c>
      <c r="F49" s="103">
        <f t="shared" si="12"/>
        <v>0</v>
      </c>
      <c r="G49" s="103">
        <f t="shared" si="12"/>
        <v>0</v>
      </c>
      <c r="H49" s="103">
        <f t="shared" si="12"/>
        <v>0</v>
      </c>
      <c r="I49" s="104">
        <f t="shared" si="12"/>
        <v>0</v>
      </c>
    </row>
    <row r="50" spans="1:9" ht="31.2" x14ac:dyDescent="0.3">
      <c r="A50" s="89" t="s">
        <v>284</v>
      </c>
      <c r="B50" s="21" t="s">
        <v>286</v>
      </c>
      <c r="C50" s="13" t="s">
        <v>285</v>
      </c>
      <c r="D50" s="101">
        <f t="shared" ref="D50" si="13">E50+F50+G50+H50</f>
        <v>0</v>
      </c>
      <c r="E50" s="98"/>
      <c r="F50" s="98"/>
      <c r="G50" s="98"/>
      <c r="H50" s="98"/>
      <c r="I50" s="100"/>
    </row>
    <row r="51" spans="1:9" ht="31.2" x14ac:dyDescent="0.3">
      <c r="A51" s="89" t="s">
        <v>288</v>
      </c>
      <c r="B51" s="21" t="s">
        <v>287</v>
      </c>
      <c r="C51" s="13" t="s">
        <v>289</v>
      </c>
      <c r="D51" s="336">
        <f>SUM(D52:D60)</f>
        <v>0</v>
      </c>
      <c r="E51" s="101">
        <f t="shared" ref="E51:I51" si="14">SUM(E52:E60)</f>
        <v>0</v>
      </c>
      <c r="F51" s="101">
        <f t="shared" si="14"/>
        <v>0</v>
      </c>
      <c r="G51" s="101">
        <f t="shared" si="14"/>
        <v>0</v>
      </c>
      <c r="H51" s="101">
        <f t="shared" si="14"/>
        <v>0</v>
      </c>
      <c r="I51" s="102">
        <f t="shared" si="14"/>
        <v>0</v>
      </c>
    </row>
    <row r="52" spans="1:9" ht="31.2" x14ac:dyDescent="0.3">
      <c r="A52" s="95" t="s">
        <v>291</v>
      </c>
      <c r="B52" s="21"/>
      <c r="C52" s="13" t="s">
        <v>289</v>
      </c>
      <c r="D52" s="101">
        <f t="shared" ref="D52:D59" si="15">E52+F52+G52+H52</f>
        <v>0</v>
      </c>
      <c r="E52" s="98"/>
      <c r="F52" s="98"/>
      <c r="G52" s="98"/>
      <c r="H52" s="98"/>
      <c r="I52" s="100"/>
    </row>
    <row r="53" spans="1:9" x14ac:dyDescent="0.3">
      <c r="A53" s="95" t="s">
        <v>193</v>
      </c>
      <c r="B53" s="21"/>
      <c r="C53" s="13" t="s">
        <v>289</v>
      </c>
      <c r="D53" s="101">
        <f t="shared" si="15"/>
        <v>0</v>
      </c>
      <c r="E53" s="98"/>
      <c r="F53" s="98"/>
      <c r="G53" s="98"/>
      <c r="H53" s="98"/>
      <c r="I53" s="100"/>
    </row>
    <row r="54" spans="1:9" x14ac:dyDescent="0.3">
      <c r="A54" s="95" t="s">
        <v>290</v>
      </c>
      <c r="B54" s="21"/>
      <c r="C54" s="13" t="s">
        <v>289</v>
      </c>
      <c r="D54" s="101">
        <f t="shared" si="15"/>
        <v>0</v>
      </c>
      <c r="E54" s="98"/>
      <c r="F54" s="98"/>
      <c r="G54" s="98"/>
      <c r="H54" s="98"/>
      <c r="I54" s="100"/>
    </row>
    <row r="55" spans="1:9" x14ac:dyDescent="0.3">
      <c r="A55" s="95" t="s">
        <v>200</v>
      </c>
      <c r="B55" s="21"/>
      <c r="C55" s="13" t="s">
        <v>289</v>
      </c>
      <c r="D55" s="101">
        <f t="shared" si="15"/>
        <v>0</v>
      </c>
      <c r="E55" s="98"/>
      <c r="F55" s="98"/>
      <c r="G55" s="98"/>
      <c r="H55" s="98"/>
      <c r="I55" s="100"/>
    </row>
    <row r="56" spans="1:9" x14ac:dyDescent="0.3">
      <c r="A56" s="95" t="s">
        <v>202</v>
      </c>
      <c r="B56" s="21"/>
      <c r="C56" s="13" t="s">
        <v>289</v>
      </c>
      <c r="D56" s="101">
        <f t="shared" si="15"/>
        <v>0</v>
      </c>
      <c r="E56" s="98"/>
      <c r="F56" s="98"/>
      <c r="G56" s="98"/>
      <c r="H56" s="98"/>
      <c r="I56" s="100"/>
    </row>
    <row r="57" spans="1:9" x14ac:dyDescent="0.3">
      <c r="A57" s="95" t="s">
        <v>204</v>
      </c>
      <c r="B57" s="21"/>
      <c r="C57" s="13" t="s">
        <v>289</v>
      </c>
      <c r="D57" s="101">
        <f t="shared" si="15"/>
        <v>0</v>
      </c>
      <c r="E57" s="98"/>
      <c r="F57" s="98"/>
      <c r="G57" s="98"/>
      <c r="H57" s="98"/>
      <c r="I57" s="100"/>
    </row>
    <row r="58" spans="1:9" x14ac:dyDescent="0.3">
      <c r="A58" s="95" t="s">
        <v>207</v>
      </c>
      <c r="B58" s="21"/>
      <c r="C58" s="13" t="s">
        <v>289</v>
      </c>
      <c r="D58" s="101">
        <f t="shared" si="15"/>
        <v>0</v>
      </c>
      <c r="E58" s="98"/>
      <c r="F58" s="98"/>
      <c r="G58" s="98"/>
      <c r="H58" s="98"/>
      <c r="I58" s="100"/>
    </row>
    <row r="59" spans="1:9" x14ac:dyDescent="0.3">
      <c r="A59" s="95" t="s">
        <v>209</v>
      </c>
      <c r="B59" s="21"/>
      <c r="C59" s="13" t="s">
        <v>289</v>
      </c>
      <c r="D59" s="101">
        <f t="shared" si="15"/>
        <v>0</v>
      </c>
      <c r="E59" s="98"/>
      <c r="F59" s="98"/>
      <c r="G59" s="98"/>
      <c r="H59" s="98"/>
      <c r="I59" s="100"/>
    </row>
    <row r="60" spans="1:9" x14ac:dyDescent="0.3">
      <c r="A60" s="95" t="s">
        <v>292</v>
      </c>
      <c r="B60" s="21"/>
      <c r="C60" s="13" t="s">
        <v>289</v>
      </c>
      <c r="D60" s="336">
        <f t="shared" ref="D60" si="16">E60++F60+G60+H60</f>
        <v>0</v>
      </c>
      <c r="E60" s="98"/>
      <c r="F60" s="98"/>
      <c r="G60" s="98"/>
      <c r="H60" s="98"/>
      <c r="I60" s="100"/>
    </row>
    <row r="61" spans="1:9" s="85" customFormat="1" ht="16.2" x14ac:dyDescent="0.35">
      <c r="A61" s="90" t="s">
        <v>68</v>
      </c>
      <c r="B61" s="91" t="s">
        <v>42</v>
      </c>
      <c r="C61" s="92" t="s">
        <v>50</v>
      </c>
      <c r="D61" s="103">
        <f>SUM(D62:D63)</f>
        <v>0</v>
      </c>
      <c r="E61" s="103">
        <f t="shared" ref="E61:I61" si="17">SUM(E62:E63)</f>
        <v>0</v>
      </c>
      <c r="F61" s="103">
        <f t="shared" si="17"/>
        <v>0</v>
      </c>
      <c r="G61" s="103">
        <f t="shared" si="17"/>
        <v>0</v>
      </c>
      <c r="H61" s="103">
        <f t="shared" si="17"/>
        <v>0</v>
      </c>
      <c r="I61" s="104">
        <f t="shared" si="17"/>
        <v>0</v>
      </c>
    </row>
    <row r="62" spans="1:9" ht="31.2" x14ac:dyDescent="0.3">
      <c r="A62" s="89" t="s">
        <v>293</v>
      </c>
      <c r="B62" s="21" t="s">
        <v>43</v>
      </c>
      <c r="C62" s="13" t="s">
        <v>233</v>
      </c>
      <c r="D62" s="101">
        <f t="shared" ref="D62:D63" si="18">E62+F62+G62+H62</f>
        <v>0</v>
      </c>
      <c r="E62" s="98"/>
      <c r="F62" s="98"/>
      <c r="G62" s="98"/>
      <c r="H62" s="98"/>
      <c r="I62" s="100"/>
    </row>
    <row r="63" spans="1:9" x14ac:dyDescent="0.3">
      <c r="A63" s="89" t="s">
        <v>44</v>
      </c>
      <c r="B63" s="21" t="s">
        <v>45</v>
      </c>
      <c r="C63" s="13"/>
      <c r="D63" s="101">
        <f t="shared" si="18"/>
        <v>0</v>
      </c>
      <c r="E63" s="98"/>
      <c r="F63" s="98"/>
      <c r="G63" s="98"/>
      <c r="H63" s="98"/>
      <c r="I63" s="100"/>
    </row>
    <row r="64" spans="1:9" s="85" customFormat="1" ht="16.2" x14ac:dyDescent="0.35">
      <c r="A64" s="90" t="s">
        <v>69</v>
      </c>
      <c r="B64" s="91" t="s">
        <v>46</v>
      </c>
      <c r="C64" s="92" t="s">
        <v>51</v>
      </c>
      <c r="D64" s="103">
        <f>SUM(D65:D66)</f>
        <v>0</v>
      </c>
      <c r="E64" s="103">
        <f t="shared" ref="E64:I64" si="19">SUM(E65:E66)</f>
        <v>0</v>
      </c>
      <c r="F64" s="103">
        <f t="shared" si="19"/>
        <v>0</v>
      </c>
      <c r="G64" s="103">
        <f t="shared" si="19"/>
        <v>0</v>
      </c>
      <c r="H64" s="103">
        <f t="shared" si="19"/>
        <v>0</v>
      </c>
      <c r="I64" s="104">
        <f t="shared" si="19"/>
        <v>0</v>
      </c>
    </row>
    <row r="65" spans="1:9" ht="31.2" x14ac:dyDescent="0.3">
      <c r="A65" s="89" t="s">
        <v>294</v>
      </c>
      <c r="B65" s="21" t="s">
        <v>47</v>
      </c>
      <c r="C65" s="13" t="s">
        <v>295</v>
      </c>
      <c r="D65" s="101">
        <f t="shared" ref="D65:D67" si="20">E65+F65+G65+H65</f>
        <v>0</v>
      </c>
      <c r="E65" s="98"/>
      <c r="F65" s="98"/>
      <c r="G65" s="98"/>
      <c r="H65" s="98"/>
      <c r="I65" s="100"/>
    </row>
    <row r="66" spans="1:9" x14ac:dyDescent="0.3">
      <c r="A66" s="89" t="s">
        <v>48</v>
      </c>
      <c r="B66" s="21" t="s">
        <v>49</v>
      </c>
      <c r="C66" s="13"/>
      <c r="D66" s="101">
        <f t="shared" si="20"/>
        <v>0</v>
      </c>
      <c r="E66" s="98"/>
      <c r="F66" s="98"/>
      <c r="G66" s="98"/>
      <c r="H66" s="98"/>
      <c r="I66" s="100"/>
    </row>
    <row r="67" spans="1:9" x14ac:dyDescent="0.3">
      <c r="A67" s="16" t="s">
        <v>70</v>
      </c>
      <c r="B67" s="23" t="s">
        <v>50</v>
      </c>
      <c r="C67" s="13" t="s">
        <v>24</v>
      </c>
      <c r="D67" s="101">
        <f t="shared" si="20"/>
        <v>0</v>
      </c>
      <c r="E67" s="101"/>
      <c r="F67" s="101"/>
      <c r="G67" s="101"/>
      <c r="H67" s="101"/>
      <c r="I67" s="102"/>
    </row>
    <row r="68" spans="1:9" ht="16.2" thickBot="1" x14ac:dyDescent="0.35">
      <c r="A68" s="16" t="s">
        <v>71</v>
      </c>
      <c r="B68" s="24" t="s">
        <v>51</v>
      </c>
      <c r="C68" s="25" t="s">
        <v>24</v>
      </c>
      <c r="D68" s="105">
        <f t="shared" ref="D68" si="21">D67+D12-D20</f>
        <v>0</v>
      </c>
      <c r="E68" s="105">
        <f t="shared" ref="E68:I68" si="22">E67+E12-E20</f>
        <v>0</v>
      </c>
      <c r="F68" s="105">
        <f t="shared" si="22"/>
        <v>0</v>
      </c>
      <c r="G68" s="105">
        <f t="shared" si="22"/>
        <v>0</v>
      </c>
      <c r="H68" s="105">
        <f t="shared" si="22"/>
        <v>0</v>
      </c>
      <c r="I68" s="106">
        <f t="shared" si="22"/>
        <v>0</v>
      </c>
    </row>
    <row r="71" spans="1:9" x14ac:dyDescent="0.3">
      <c r="A71" s="109" t="s">
        <v>175</v>
      </c>
      <c r="C71" s="524"/>
      <c r="D71" s="524"/>
      <c r="E71" s="363"/>
      <c r="F71" s="524" t="s">
        <v>810</v>
      </c>
      <c r="G71" s="524"/>
      <c r="H71" s="363"/>
      <c r="I71" s="363"/>
    </row>
    <row r="72" spans="1:9" x14ac:dyDescent="0.3">
      <c r="A72" s="110"/>
      <c r="B72" s="55"/>
      <c r="C72" s="525" t="s">
        <v>96</v>
      </c>
      <c r="D72" s="525"/>
      <c r="E72" s="363"/>
      <c r="F72" s="525" t="s">
        <v>97</v>
      </c>
      <c r="G72" s="525"/>
      <c r="H72" s="363"/>
      <c r="I72" s="363"/>
    </row>
    <row r="73" spans="1:9" x14ac:dyDescent="0.3">
      <c r="A73" s="108" t="s">
        <v>154</v>
      </c>
      <c r="B73" s="55"/>
      <c r="C73" s="432"/>
      <c r="D73" s="363"/>
      <c r="E73" s="363"/>
      <c r="F73" s="363"/>
      <c r="G73" s="432"/>
      <c r="H73" s="363"/>
      <c r="I73" s="363"/>
    </row>
    <row r="74" spans="1:9" x14ac:dyDescent="0.3">
      <c r="A74" s="109" t="s">
        <v>296</v>
      </c>
      <c r="C74" s="524"/>
      <c r="D74" s="524"/>
      <c r="E74" s="363"/>
      <c r="F74" s="524" t="s">
        <v>811</v>
      </c>
      <c r="G74" s="524"/>
      <c r="H74" s="363"/>
      <c r="I74" s="363"/>
    </row>
    <row r="75" spans="1:9" x14ac:dyDescent="0.3">
      <c r="A75" s="109"/>
      <c r="C75" s="525" t="s">
        <v>96</v>
      </c>
      <c r="D75" s="525"/>
      <c r="E75" s="363"/>
      <c r="F75" s="525" t="s">
        <v>97</v>
      </c>
      <c r="G75" s="525"/>
      <c r="H75" s="363"/>
      <c r="I75" s="363"/>
    </row>
    <row r="76" spans="1:9" x14ac:dyDescent="0.3">
      <c r="A76" s="110"/>
      <c r="C76" s="363"/>
      <c r="D76" s="363"/>
      <c r="E76" s="363"/>
      <c r="F76" s="363"/>
      <c r="G76" s="363"/>
      <c r="H76" s="363"/>
      <c r="I76" s="363"/>
    </row>
    <row r="77" spans="1:9" x14ac:dyDescent="0.3">
      <c r="A77" s="109" t="s">
        <v>297</v>
      </c>
      <c r="C77" s="524" t="s">
        <v>910</v>
      </c>
      <c r="D77" s="524"/>
      <c r="E77" s="427"/>
      <c r="F77" s="524" t="s">
        <v>811</v>
      </c>
      <c r="G77" s="524"/>
      <c r="H77" s="524" t="s">
        <v>912</v>
      </c>
      <c r="I77" s="524"/>
    </row>
    <row r="78" spans="1:9" x14ac:dyDescent="0.3">
      <c r="A78" s="109" t="str">
        <f>'Таблица 2 (2018)'!A78</f>
        <v>« 06 » апреля 2018 года</v>
      </c>
      <c r="C78" s="525" t="s">
        <v>152</v>
      </c>
      <c r="D78" s="525"/>
      <c r="E78" s="414" t="s">
        <v>96</v>
      </c>
      <c r="F78" s="525" t="s">
        <v>298</v>
      </c>
      <c r="G78" s="525"/>
      <c r="H78" s="525" t="s">
        <v>176</v>
      </c>
      <c r="I78" s="525"/>
    </row>
  </sheetData>
  <mergeCells count="27">
    <mergeCell ref="A2:I2"/>
    <mergeCell ref="A3:I4"/>
    <mergeCell ref="A5:I5"/>
    <mergeCell ref="A7:A10"/>
    <mergeCell ref="B7:B10"/>
    <mergeCell ref="C7:C10"/>
    <mergeCell ref="D7:I7"/>
    <mergeCell ref="D8:D10"/>
    <mergeCell ref="E8:I8"/>
    <mergeCell ref="E9:E10"/>
    <mergeCell ref="F9:F10"/>
    <mergeCell ref="G9:G10"/>
    <mergeCell ref="H9:I9"/>
    <mergeCell ref="F71:G71"/>
    <mergeCell ref="H77:I77"/>
    <mergeCell ref="C78:D78"/>
    <mergeCell ref="F78:G78"/>
    <mergeCell ref="H78:I78"/>
    <mergeCell ref="C74:D74"/>
    <mergeCell ref="F74:G74"/>
    <mergeCell ref="C75:D75"/>
    <mergeCell ref="F75:G75"/>
    <mergeCell ref="C77:D77"/>
    <mergeCell ref="F77:G77"/>
    <mergeCell ref="C72:D72"/>
    <mergeCell ref="F72:G72"/>
    <mergeCell ref="C71:D71"/>
  </mergeCells>
  <printOptions horizontalCentered="1"/>
  <pageMargins left="0.78740157480314965" right="0.19685039370078741" top="0.19685039370078741" bottom="0.19685039370078741" header="0.31496062992125984" footer="0.31496062992125984"/>
  <pageSetup paperSize="9" scale="4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opLeftCell="A28" zoomScale="60" zoomScaleNormal="60" workbookViewId="0">
      <selection activeCell="L69" sqref="L69"/>
    </sheetView>
  </sheetViews>
  <sheetFormatPr defaultColWidth="9.109375" defaultRowHeight="15.6" x14ac:dyDescent="0.3"/>
  <cols>
    <col min="1" max="1" width="40.5546875" style="12" customWidth="1"/>
    <col min="2" max="2" width="8" style="114" bestFit="1" customWidth="1"/>
    <col min="3" max="3" width="8.6640625" style="114" bestFit="1" customWidth="1"/>
    <col min="4" max="4" width="9.109375" style="114" bestFit="1" customWidth="1"/>
    <col min="5" max="5" width="16.88671875" style="1" customWidth="1"/>
    <col min="6" max="7" width="15.6640625" style="1" customWidth="1"/>
    <col min="8" max="8" width="16.88671875" style="1" customWidth="1"/>
    <col min="9" max="13" width="15.6640625" style="1" customWidth="1"/>
    <col min="14" max="16384" width="9.109375" style="57"/>
  </cols>
  <sheetData>
    <row r="1" spans="1:13" x14ac:dyDescent="0.3">
      <c r="M1" s="2" t="s">
        <v>795</v>
      </c>
    </row>
    <row r="3" spans="1:13" s="59" customFormat="1" ht="18" x14ac:dyDescent="0.35">
      <c r="A3" s="518" t="s">
        <v>353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</row>
    <row r="4" spans="1:13" s="59" customFormat="1" ht="18" x14ac:dyDescent="0.35">
      <c r="A4" s="519" t="str">
        <f>'Заголовочная часть'!B14</f>
        <v>Областное государственное бюджетное профессиональное образовательное учреждение "Костромской автодорожный колледж"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</row>
    <row r="5" spans="1:13" s="59" customFormat="1" ht="18" x14ac:dyDescent="0.35">
      <c r="A5" s="519"/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</row>
    <row r="6" spans="1:13" s="59" customFormat="1" ht="18" x14ac:dyDescent="0.35">
      <c r="A6" s="520" t="str">
        <f>'Заголовочная часть'!A10</f>
        <v>на 2018 финансовый год и плановый период 2019 и 2020 годов</v>
      </c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</row>
    <row r="8" spans="1:13" s="156" customFormat="1" x14ac:dyDescent="0.3">
      <c r="A8" s="531" t="s">
        <v>2</v>
      </c>
      <c r="B8" s="531" t="s">
        <v>366</v>
      </c>
      <c r="C8" s="531" t="s">
        <v>184</v>
      </c>
      <c r="D8" s="531" t="s">
        <v>365</v>
      </c>
      <c r="E8" s="522" t="s">
        <v>73</v>
      </c>
      <c r="F8" s="522"/>
      <c r="G8" s="522"/>
      <c r="H8" s="522"/>
      <c r="I8" s="522"/>
      <c r="J8" s="522"/>
      <c r="K8" s="522"/>
      <c r="L8" s="522"/>
      <c r="M8" s="522"/>
    </row>
    <row r="9" spans="1:13" s="156" customFormat="1" ht="15.75" customHeight="1" x14ac:dyDescent="0.3">
      <c r="A9" s="532"/>
      <c r="B9" s="532"/>
      <c r="C9" s="532"/>
      <c r="D9" s="532"/>
      <c r="E9" s="537" t="s">
        <v>74</v>
      </c>
      <c r="F9" s="538"/>
      <c r="G9" s="539"/>
      <c r="H9" s="522" t="s">
        <v>6</v>
      </c>
      <c r="I9" s="522"/>
      <c r="J9" s="522"/>
      <c r="K9" s="522"/>
      <c r="L9" s="522"/>
      <c r="M9" s="522"/>
    </row>
    <row r="10" spans="1:13" s="156" customFormat="1" ht="85.5" customHeight="1" x14ac:dyDescent="0.3">
      <c r="A10" s="532"/>
      <c r="B10" s="532"/>
      <c r="C10" s="532"/>
      <c r="D10" s="532"/>
      <c r="E10" s="540"/>
      <c r="F10" s="541"/>
      <c r="G10" s="542"/>
      <c r="H10" s="534" t="s">
        <v>80</v>
      </c>
      <c r="I10" s="535"/>
      <c r="J10" s="536"/>
      <c r="K10" s="534" t="s">
        <v>81</v>
      </c>
      <c r="L10" s="535"/>
      <c r="M10" s="536"/>
    </row>
    <row r="11" spans="1:13" s="156" customFormat="1" ht="62.4" x14ac:dyDescent="0.3">
      <c r="A11" s="533"/>
      <c r="B11" s="533"/>
      <c r="C11" s="533"/>
      <c r="D11" s="533"/>
      <c r="E11" s="291" t="s">
        <v>788</v>
      </c>
      <c r="F11" s="291" t="s">
        <v>791</v>
      </c>
      <c r="G11" s="291" t="s">
        <v>790</v>
      </c>
      <c r="H11" s="291" t="s">
        <v>788</v>
      </c>
      <c r="I11" s="291" t="s">
        <v>791</v>
      </c>
      <c r="J11" s="291" t="s">
        <v>790</v>
      </c>
      <c r="K11" s="291" t="s">
        <v>788</v>
      </c>
      <c r="L11" s="291" t="s">
        <v>791</v>
      </c>
      <c r="M11" s="291" t="s">
        <v>790</v>
      </c>
    </row>
    <row r="12" spans="1:13" s="156" customFormat="1" x14ac:dyDescent="0.3">
      <c r="A12" s="157">
        <v>1</v>
      </c>
      <c r="B12" s="157">
        <v>2</v>
      </c>
      <c r="C12" s="157">
        <v>3</v>
      </c>
      <c r="D12" s="157">
        <v>4</v>
      </c>
      <c r="E12" s="291">
        <v>5</v>
      </c>
      <c r="F12" s="291">
        <v>6</v>
      </c>
      <c r="G12" s="291">
        <v>7</v>
      </c>
      <c r="H12" s="291">
        <v>8</v>
      </c>
      <c r="I12" s="291">
        <v>9</v>
      </c>
      <c r="J12" s="291">
        <v>10</v>
      </c>
      <c r="K12" s="291">
        <v>11</v>
      </c>
      <c r="L12" s="291">
        <v>12</v>
      </c>
      <c r="M12" s="291">
        <v>13</v>
      </c>
    </row>
    <row r="13" spans="1:13" s="58" customFormat="1" ht="31.2" x14ac:dyDescent="0.3">
      <c r="A13" s="159" t="s">
        <v>77</v>
      </c>
      <c r="B13" s="13" t="s">
        <v>75</v>
      </c>
      <c r="C13" s="13"/>
      <c r="D13" s="13" t="s">
        <v>24</v>
      </c>
      <c r="E13" s="154">
        <f>E15+E35</f>
        <v>18513566.98</v>
      </c>
      <c r="F13" s="154">
        <f t="shared" ref="F13:M13" si="0">F15+F35</f>
        <v>0</v>
      </c>
      <c r="G13" s="154">
        <f t="shared" si="0"/>
        <v>0</v>
      </c>
      <c r="H13" s="154">
        <f t="shared" si="0"/>
        <v>16589993.380000001</v>
      </c>
      <c r="I13" s="154">
        <f t="shared" si="0"/>
        <v>0</v>
      </c>
      <c r="J13" s="154">
        <f t="shared" si="0"/>
        <v>0</v>
      </c>
      <c r="K13" s="154">
        <f t="shared" si="0"/>
        <v>1923573.6</v>
      </c>
      <c r="L13" s="154">
        <f t="shared" si="0"/>
        <v>0</v>
      </c>
      <c r="M13" s="154">
        <f t="shared" si="0"/>
        <v>0</v>
      </c>
    </row>
    <row r="14" spans="1:13" s="143" customFormat="1" x14ac:dyDescent="0.3">
      <c r="A14" s="150" t="s">
        <v>354</v>
      </c>
      <c r="B14" s="148"/>
      <c r="C14" s="148"/>
      <c r="D14" s="148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s="153" customFormat="1" ht="48.6" x14ac:dyDescent="0.35">
      <c r="A15" s="146" t="s">
        <v>355</v>
      </c>
      <c r="B15" s="152">
        <v>1001</v>
      </c>
      <c r="C15" s="152"/>
      <c r="D15" s="152" t="s">
        <v>24</v>
      </c>
      <c r="E15" s="155">
        <f>SUM(E16:E34)</f>
        <v>0</v>
      </c>
      <c r="F15" s="155">
        <f t="shared" ref="F15:G15" si="1">SUM(F16:F34)</f>
        <v>0</v>
      </c>
      <c r="G15" s="155">
        <f t="shared" si="1"/>
        <v>0</v>
      </c>
      <c r="H15" s="155">
        <f t="shared" ref="H15:M15" si="2">SUM(H16:H34)</f>
        <v>0</v>
      </c>
      <c r="I15" s="155">
        <f t="shared" si="2"/>
        <v>0</v>
      </c>
      <c r="J15" s="155">
        <f t="shared" si="2"/>
        <v>0</v>
      </c>
      <c r="K15" s="155">
        <f t="shared" si="2"/>
        <v>0</v>
      </c>
      <c r="L15" s="155">
        <f t="shared" si="2"/>
        <v>0</v>
      </c>
      <c r="M15" s="155">
        <f t="shared" si="2"/>
        <v>0</v>
      </c>
    </row>
    <row r="16" spans="1:13" s="143" customFormat="1" x14ac:dyDescent="0.3">
      <c r="A16" s="147" t="s">
        <v>191</v>
      </c>
      <c r="B16" s="151">
        <v>244</v>
      </c>
      <c r="C16" s="148" t="s">
        <v>192</v>
      </c>
      <c r="D16" s="148"/>
      <c r="E16" s="154">
        <f>H16+K16</f>
        <v>0</v>
      </c>
      <c r="F16" s="154">
        <f t="shared" ref="F16:G31" si="3">I16+L16</f>
        <v>0</v>
      </c>
      <c r="G16" s="154">
        <f t="shared" si="3"/>
        <v>0</v>
      </c>
      <c r="H16" s="315"/>
      <c r="I16" s="315"/>
      <c r="J16" s="315"/>
      <c r="K16" s="315"/>
      <c r="L16" s="315"/>
      <c r="M16" s="315"/>
    </row>
    <row r="17" spans="1:13" s="143" customFormat="1" x14ac:dyDescent="0.3">
      <c r="A17" s="147" t="s">
        <v>193</v>
      </c>
      <c r="B17" s="151">
        <v>244</v>
      </c>
      <c r="C17" s="148" t="s">
        <v>194</v>
      </c>
      <c r="D17" s="148"/>
      <c r="E17" s="154">
        <f t="shared" ref="E17:E34" si="4">H17+K17</f>
        <v>0</v>
      </c>
      <c r="F17" s="154">
        <f t="shared" si="3"/>
        <v>0</v>
      </c>
      <c r="G17" s="154">
        <f t="shared" si="3"/>
        <v>0</v>
      </c>
      <c r="H17" s="315"/>
      <c r="I17" s="315"/>
      <c r="J17" s="315"/>
      <c r="K17" s="315"/>
      <c r="L17" s="315"/>
      <c r="M17" s="315"/>
    </row>
    <row r="18" spans="1:13" s="143" customFormat="1" x14ac:dyDescent="0.3">
      <c r="A18" s="147" t="s">
        <v>195</v>
      </c>
      <c r="B18" s="151">
        <v>244</v>
      </c>
      <c r="C18" s="148" t="s">
        <v>196</v>
      </c>
      <c r="D18" s="148"/>
      <c r="E18" s="154">
        <f t="shared" si="4"/>
        <v>0</v>
      </c>
      <c r="F18" s="154">
        <f t="shared" si="3"/>
        <v>0</v>
      </c>
      <c r="G18" s="154">
        <f t="shared" si="3"/>
        <v>0</v>
      </c>
      <c r="H18" s="315"/>
      <c r="I18" s="315"/>
      <c r="J18" s="315"/>
      <c r="K18" s="315"/>
      <c r="L18" s="315"/>
      <c r="M18" s="315"/>
    </row>
    <row r="19" spans="1:13" s="143" customFormat="1" ht="31.2" x14ac:dyDescent="0.3">
      <c r="A19" s="147" t="s">
        <v>197</v>
      </c>
      <c r="B19" s="151">
        <v>244</v>
      </c>
      <c r="C19" s="148" t="s">
        <v>198</v>
      </c>
      <c r="D19" s="148"/>
      <c r="E19" s="154">
        <f t="shared" si="4"/>
        <v>0</v>
      </c>
      <c r="F19" s="154">
        <f t="shared" si="3"/>
        <v>0</v>
      </c>
      <c r="G19" s="154">
        <f t="shared" si="3"/>
        <v>0</v>
      </c>
      <c r="H19" s="315"/>
      <c r="I19" s="315"/>
      <c r="J19" s="315"/>
      <c r="K19" s="315"/>
      <c r="L19" s="315"/>
      <c r="M19" s="315"/>
    </row>
    <row r="20" spans="1:13" s="143" customFormat="1" x14ac:dyDescent="0.3">
      <c r="A20" s="147" t="s">
        <v>356</v>
      </c>
      <c r="B20" s="151">
        <v>244</v>
      </c>
      <c r="C20" s="148" t="s">
        <v>199</v>
      </c>
      <c r="D20" s="148"/>
      <c r="E20" s="154">
        <f t="shared" si="4"/>
        <v>0</v>
      </c>
      <c r="F20" s="154">
        <f t="shared" si="3"/>
        <v>0</v>
      </c>
      <c r="G20" s="154">
        <f t="shared" si="3"/>
        <v>0</v>
      </c>
      <c r="H20" s="315"/>
      <c r="I20" s="315"/>
      <c r="J20" s="315"/>
      <c r="K20" s="315"/>
      <c r="L20" s="315"/>
      <c r="M20" s="315"/>
    </row>
    <row r="21" spans="1:13" s="143" customFormat="1" ht="31.2" x14ac:dyDescent="0.3">
      <c r="A21" s="147" t="s">
        <v>357</v>
      </c>
      <c r="B21" s="151">
        <v>244</v>
      </c>
      <c r="C21" s="148" t="s">
        <v>201</v>
      </c>
      <c r="D21" s="148"/>
      <c r="E21" s="154">
        <f t="shared" si="4"/>
        <v>0</v>
      </c>
      <c r="F21" s="154">
        <f t="shared" si="3"/>
        <v>0</v>
      </c>
      <c r="G21" s="154">
        <f t="shared" si="3"/>
        <v>0</v>
      </c>
      <c r="H21" s="315"/>
      <c r="I21" s="315"/>
      <c r="J21" s="315"/>
      <c r="K21" s="315"/>
      <c r="L21" s="315"/>
      <c r="M21" s="315"/>
    </row>
    <row r="22" spans="1:13" s="143" customFormat="1" x14ac:dyDescent="0.3">
      <c r="A22" s="528" t="s">
        <v>358</v>
      </c>
      <c r="B22" s="151">
        <v>243</v>
      </c>
      <c r="C22" s="529" t="s">
        <v>203</v>
      </c>
      <c r="D22" s="148"/>
      <c r="E22" s="154">
        <f t="shared" si="4"/>
        <v>0</v>
      </c>
      <c r="F22" s="154">
        <f t="shared" si="3"/>
        <v>0</v>
      </c>
      <c r="G22" s="154">
        <f t="shared" si="3"/>
        <v>0</v>
      </c>
      <c r="H22" s="315"/>
      <c r="I22" s="315"/>
      <c r="J22" s="315"/>
      <c r="K22" s="315"/>
      <c r="L22" s="315"/>
      <c r="M22" s="315"/>
    </row>
    <row r="23" spans="1:13" s="143" customFormat="1" x14ac:dyDescent="0.3">
      <c r="A23" s="528"/>
      <c r="B23" s="151">
        <v>244</v>
      </c>
      <c r="C23" s="529"/>
      <c r="D23" s="148"/>
      <c r="E23" s="154">
        <f t="shared" si="4"/>
        <v>0</v>
      </c>
      <c r="F23" s="154">
        <f t="shared" si="3"/>
        <v>0</v>
      </c>
      <c r="G23" s="154">
        <f t="shared" si="3"/>
        <v>0</v>
      </c>
      <c r="H23" s="315"/>
      <c r="I23" s="315"/>
      <c r="J23" s="315"/>
      <c r="K23" s="315"/>
      <c r="L23" s="315"/>
      <c r="M23" s="315"/>
    </row>
    <row r="24" spans="1:13" s="143" customFormat="1" x14ac:dyDescent="0.3">
      <c r="A24" s="528" t="s">
        <v>204</v>
      </c>
      <c r="B24" s="151">
        <v>243</v>
      </c>
      <c r="C24" s="529" t="s">
        <v>205</v>
      </c>
      <c r="D24" s="148"/>
      <c r="E24" s="154">
        <f t="shared" si="4"/>
        <v>0</v>
      </c>
      <c r="F24" s="154">
        <f t="shared" si="3"/>
        <v>0</v>
      </c>
      <c r="G24" s="154">
        <f t="shared" si="3"/>
        <v>0</v>
      </c>
      <c r="H24" s="315"/>
      <c r="I24" s="315"/>
      <c r="J24" s="315"/>
      <c r="K24" s="315"/>
      <c r="L24" s="315"/>
      <c r="M24" s="315"/>
    </row>
    <row r="25" spans="1:13" s="143" customFormat="1" x14ac:dyDescent="0.3">
      <c r="A25" s="528"/>
      <c r="B25" s="151">
        <v>244</v>
      </c>
      <c r="C25" s="529"/>
      <c r="D25" s="148"/>
      <c r="E25" s="154">
        <f t="shared" si="4"/>
        <v>0</v>
      </c>
      <c r="F25" s="154">
        <f t="shared" si="3"/>
        <v>0</v>
      </c>
      <c r="G25" s="154">
        <f t="shared" si="3"/>
        <v>0</v>
      </c>
      <c r="H25" s="315"/>
      <c r="I25" s="315"/>
      <c r="J25" s="315"/>
      <c r="K25" s="315"/>
      <c r="L25" s="315"/>
      <c r="M25" s="315"/>
    </row>
    <row r="26" spans="1:13" s="143" customFormat="1" x14ac:dyDescent="0.3">
      <c r="A26" s="528"/>
      <c r="B26" s="151">
        <v>407</v>
      </c>
      <c r="C26" s="529"/>
      <c r="D26" s="148"/>
      <c r="E26" s="154">
        <f t="shared" si="4"/>
        <v>0</v>
      </c>
      <c r="F26" s="154">
        <f t="shared" si="3"/>
        <v>0</v>
      </c>
      <c r="G26" s="154">
        <f t="shared" si="3"/>
        <v>0</v>
      </c>
      <c r="H26" s="315"/>
      <c r="I26" s="315"/>
      <c r="J26" s="315"/>
      <c r="K26" s="315"/>
      <c r="L26" s="315"/>
      <c r="M26" s="315"/>
    </row>
    <row r="27" spans="1:13" s="143" customFormat="1" x14ac:dyDescent="0.3">
      <c r="A27" s="528" t="s">
        <v>207</v>
      </c>
      <c r="B27" s="151">
        <v>113</v>
      </c>
      <c r="C27" s="529" t="s">
        <v>208</v>
      </c>
      <c r="D27" s="148"/>
      <c r="E27" s="154">
        <f t="shared" si="4"/>
        <v>0</v>
      </c>
      <c r="F27" s="154">
        <f t="shared" si="3"/>
        <v>0</v>
      </c>
      <c r="G27" s="154">
        <f t="shared" si="3"/>
        <v>0</v>
      </c>
      <c r="H27" s="315"/>
      <c r="I27" s="315"/>
      <c r="J27" s="315"/>
      <c r="K27" s="315"/>
      <c r="L27" s="315"/>
      <c r="M27" s="315"/>
    </row>
    <row r="28" spans="1:13" s="143" customFormat="1" x14ac:dyDescent="0.3">
      <c r="A28" s="528"/>
      <c r="B28" s="151">
        <v>244</v>
      </c>
      <c r="C28" s="529"/>
      <c r="D28" s="148"/>
      <c r="E28" s="154">
        <f t="shared" si="4"/>
        <v>0</v>
      </c>
      <c r="F28" s="154">
        <f t="shared" si="3"/>
        <v>0</v>
      </c>
      <c r="G28" s="154">
        <f t="shared" si="3"/>
        <v>0</v>
      </c>
      <c r="H28" s="315"/>
      <c r="I28" s="315"/>
      <c r="J28" s="315"/>
      <c r="K28" s="315"/>
      <c r="L28" s="315"/>
      <c r="M28" s="315"/>
    </row>
    <row r="29" spans="1:13" s="143" customFormat="1" x14ac:dyDescent="0.3">
      <c r="A29" s="147" t="s">
        <v>359</v>
      </c>
      <c r="B29" s="151">
        <v>244</v>
      </c>
      <c r="C29" s="148" t="s">
        <v>210</v>
      </c>
      <c r="D29" s="148"/>
      <c r="E29" s="154">
        <f t="shared" si="4"/>
        <v>0</v>
      </c>
      <c r="F29" s="154">
        <f t="shared" si="3"/>
        <v>0</v>
      </c>
      <c r="G29" s="154">
        <f t="shared" si="3"/>
        <v>0</v>
      </c>
      <c r="H29" s="315"/>
      <c r="I29" s="315"/>
      <c r="J29" s="315"/>
      <c r="K29" s="315"/>
      <c r="L29" s="315"/>
      <c r="M29" s="315"/>
    </row>
    <row r="30" spans="1:13" s="143" customFormat="1" ht="31.2" x14ac:dyDescent="0.3">
      <c r="A30" s="147" t="s">
        <v>360</v>
      </c>
      <c r="B30" s="151">
        <v>244</v>
      </c>
      <c r="C30" s="148" t="s">
        <v>212</v>
      </c>
      <c r="D30" s="148"/>
      <c r="E30" s="154">
        <f t="shared" si="4"/>
        <v>0</v>
      </c>
      <c r="F30" s="154">
        <f t="shared" si="3"/>
        <v>0</v>
      </c>
      <c r="G30" s="154">
        <f t="shared" si="3"/>
        <v>0</v>
      </c>
      <c r="H30" s="315"/>
      <c r="I30" s="315"/>
      <c r="J30" s="315"/>
      <c r="K30" s="315"/>
      <c r="L30" s="315"/>
      <c r="M30" s="315"/>
    </row>
    <row r="31" spans="1:13" s="143" customFormat="1" x14ac:dyDescent="0.3">
      <c r="A31" s="147" t="s">
        <v>361</v>
      </c>
      <c r="B31" s="151">
        <v>244</v>
      </c>
      <c r="C31" s="148" t="s">
        <v>214</v>
      </c>
      <c r="D31" s="148"/>
      <c r="E31" s="154">
        <f t="shared" si="4"/>
        <v>0</v>
      </c>
      <c r="F31" s="154">
        <f t="shared" si="3"/>
        <v>0</v>
      </c>
      <c r="G31" s="154">
        <f t="shared" si="3"/>
        <v>0</v>
      </c>
      <c r="H31" s="315"/>
      <c r="I31" s="315"/>
      <c r="J31" s="315"/>
      <c r="K31" s="315"/>
      <c r="L31" s="315"/>
      <c r="M31" s="315"/>
    </row>
    <row r="32" spans="1:13" s="143" customFormat="1" x14ac:dyDescent="0.3">
      <c r="A32" s="147" t="s">
        <v>362</v>
      </c>
      <c r="B32" s="151">
        <v>244</v>
      </c>
      <c r="C32" s="148" t="s">
        <v>216</v>
      </c>
      <c r="D32" s="148"/>
      <c r="E32" s="154">
        <f t="shared" si="4"/>
        <v>0</v>
      </c>
      <c r="F32" s="154">
        <f t="shared" ref="F32:F34" si="5">I32+L32</f>
        <v>0</v>
      </c>
      <c r="G32" s="154">
        <f t="shared" ref="G32:G34" si="6">J32+M32</f>
        <v>0</v>
      </c>
      <c r="H32" s="315"/>
      <c r="I32" s="315"/>
      <c r="J32" s="315"/>
      <c r="K32" s="315"/>
      <c r="L32" s="315"/>
      <c r="M32" s="315"/>
    </row>
    <row r="33" spans="1:13" s="143" customFormat="1" ht="31.2" x14ac:dyDescent="0.3">
      <c r="A33" s="147" t="s">
        <v>363</v>
      </c>
      <c r="B33" s="151">
        <v>244</v>
      </c>
      <c r="C33" s="148" t="s">
        <v>218</v>
      </c>
      <c r="D33" s="148"/>
      <c r="E33" s="154">
        <f t="shared" si="4"/>
        <v>0</v>
      </c>
      <c r="F33" s="154">
        <f t="shared" si="5"/>
        <v>0</v>
      </c>
      <c r="G33" s="154">
        <f t="shared" si="6"/>
        <v>0</v>
      </c>
      <c r="H33" s="315"/>
      <c r="I33" s="315"/>
      <c r="J33" s="315"/>
      <c r="K33" s="315"/>
      <c r="L33" s="315"/>
      <c r="M33" s="315"/>
    </row>
    <row r="34" spans="1:13" ht="31.2" x14ac:dyDescent="0.3">
      <c r="A34" s="147" t="s">
        <v>364</v>
      </c>
      <c r="B34" s="151">
        <v>244</v>
      </c>
      <c r="C34" s="148" t="s">
        <v>220</v>
      </c>
      <c r="D34" s="14"/>
      <c r="E34" s="154">
        <f t="shared" si="4"/>
        <v>0</v>
      </c>
      <c r="F34" s="154">
        <f t="shared" si="5"/>
        <v>0</v>
      </c>
      <c r="G34" s="154">
        <f t="shared" si="6"/>
        <v>0</v>
      </c>
      <c r="H34" s="315"/>
      <c r="I34" s="315"/>
      <c r="J34" s="315"/>
      <c r="K34" s="315"/>
      <c r="L34" s="315"/>
      <c r="M34" s="315"/>
    </row>
    <row r="35" spans="1:13" s="85" customFormat="1" ht="32.4" x14ac:dyDescent="0.35">
      <c r="A35" s="158" t="s">
        <v>78</v>
      </c>
      <c r="B35" s="92" t="s">
        <v>76</v>
      </c>
      <c r="C35" s="92"/>
      <c r="D35" s="92" t="s">
        <v>79</v>
      </c>
      <c r="E35" s="155">
        <f>SUM(E36:E54)</f>
        <v>18513566.98</v>
      </c>
      <c r="F35" s="155">
        <f t="shared" ref="F35:G35" si="7">SUM(F36:F54)</f>
        <v>0</v>
      </c>
      <c r="G35" s="155">
        <f t="shared" si="7"/>
        <v>0</v>
      </c>
      <c r="H35" s="155">
        <f>SUM(H36:H54)</f>
        <v>16589993.380000001</v>
      </c>
      <c r="I35" s="155">
        <f t="shared" ref="I35" si="8">SUM(I36:I54)</f>
        <v>0</v>
      </c>
      <c r="J35" s="155">
        <f t="shared" ref="J35" si="9">SUM(J36:J54)</f>
        <v>0</v>
      </c>
      <c r="K35" s="155">
        <f t="shared" ref="K35" si="10">SUM(K36:K54)</f>
        <v>1923573.6</v>
      </c>
      <c r="L35" s="155">
        <f t="shared" ref="L35" si="11">SUM(L36:L54)</f>
        <v>0</v>
      </c>
      <c r="M35" s="155">
        <f t="shared" ref="M35" si="12">SUM(M36:M54)</f>
        <v>0</v>
      </c>
    </row>
    <row r="36" spans="1:13" s="143" customFormat="1" x14ac:dyDescent="0.3">
      <c r="A36" s="147" t="s">
        <v>191</v>
      </c>
      <c r="B36" s="151">
        <v>244</v>
      </c>
      <c r="C36" s="148" t="s">
        <v>192</v>
      </c>
      <c r="D36" s="149"/>
      <c r="E36" s="154">
        <f>H36+K36</f>
        <v>170881.27</v>
      </c>
      <c r="F36" s="154">
        <f t="shared" ref="F36:G51" si="13">I36+L36</f>
        <v>0</v>
      </c>
      <c r="G36" s="154">
        <f t="shared" si="13"/>
        <v>0</v>
      </c>
      <c r="H36" s="315">
        <v>170881.27</v>
      </c>
      <c r="I36" s="315"/>
      <c r="J36" s="315"/>
      <c r="K36" s="315"/>
      <c r="L36" s="315"/>
      <c r="M36" s="315"/>
    </row>
    <row r="37" spans="1:13" s="143" customFormat="1" x14ac:dyDescent="0.3">
      <c r="A37" s="147" t="s">
        <v>193</v>
      </c>
      <c r="B37" s="151">
        <v>244</v>
      </c>
      <c r="C37" s="148" t="s">
        <v>194</v>
      </c>
      <c r="D37" s="148"/>
      <c r="E37" s="154">
        <f t="shared" ref="E37:E54" si="14">H37+K37</f>
        <v>5229</v>
      </c>
      <c r="F37" s="154">
        <f t="shared" si="13"/>
        <v>0</v>
      </c>
      <c r="G37" s="154">
        <f t="shared" si="13"/>
        <v>0</v>
      </c>
      <c r="H37" s="315">
        <v>5229</v>
      </c>
      <c r="I37" s="315"/>
      <c r="J37" s="315"/>
      <c r="K37" s="315"/>
      <c r="L37" s="315"/>
      <c r="M37" s="315"/>
    </row>
    <row r="38" spans="1:13" s="143" customFormat="1" x14ac:dyDescent="0.3">
      <c r="A38" s="147" t="s">
        <v>195</v>
      </c>
      <c r="B38" s="151">
        <v>244</v>
      </c>
      <c r="C38" s="148" t="s">
        <v>196</v>
      </c>
      <c r="D38" s="148"/>
      <c r="E38" s="154">
        <f t="shared" si="14"/>
        <v>7245535.1100000003</v>
      </c>
      <c r="F38" s="154">
        <f t="shared" si="13"/>
        <v>0</v>
      </c>
      <c r="G38" s="154">
        <f t="shared" si="13"/>
        <v>0</v>
      </c>
      <c r="H38" s="315">
        <v>7245535.1100000003</v>
      </c>
      <c r="I38" s="315"/>
      <c r="J38" s="315"/>
      <c r="K38" s="315"/>
      <c r="L38" s="315"/>
      <c r="M38" s="315"/>
    </row>
    <row r="39" spans="1:13" s="143" customFormat="1" ht="31.2" x14ac:dyDescent="0.3">
      <c r="A39" s="147" t="s">
        <v>197</v>
      </c>
      <c r="B39" s="151">
        <v>244</v>
      </c>
      <c r="C39" s="148" t="s">
        <v>198</v>
      </c>
      <c r="D39" s="148"/>
      <c r="E39" s="154">
        <f t="shared" si="14"/>
        <v>3226761.76</v>
      </c>
      <c r="F39" s="154">
        <f t="shared" si="13"/>
        <v>0</v>
      </c>
      <c r="G39" s="154">
        <f t="shared" si="13"/>
        <v>0</v>
      </c>
      <c r="H39" s="315">
        <f>2644768+581993.76</f>
        <v>3226761.76</v>
      </c>
      <c r="I39" s="315"/>
      <c r="J39" s="315"/>
      <c r="K39" s="315"/>
      <c r="L39" s="315"/>
      <c r="M39" s="315"/>
    </row>
    <row r="40" spans="1:13" s="143" customFormat="1" x14ac:dyDescent="0.3">
      <c r="A40" s="147" t="s">
        <v>356</v>
      </c>
      <c r="B40" s="151">
        <v>244</v>
      </c>
      <c r="C40" s="148" t="s">
        <v>199</v>
      </c>
      <c r="D40" s="148"/>
      <c r="E40" s="154">
        <f t="shared" si="14"/>
        <v>548335.99</v>
      </c>
      <c r="F40" s="154">
        <f t="shared" si="13"/>
        <v>0</v>
      </c>
      <c r="G40" s="154">
        <f t="shared" si="13"/>
        <v>0</v>
      </c>
      <c r="H40" s="315">
        <v>548335.99</v>
      </c>
      <c r="I40" s="315"/>
      <c r="J40" s="315"/>
      <c r="K40" s="315"/>
      <c r="L40" s="315"/>
      <c r="M40" s="315"/>
    </row>
    <row r="41" spans="1:13" s="143" customFormat="1" ht="31.2" x14ac:dyDescent="0.3">
      <c r="A41" s="147" t="s">
        <v>357</v>
      </c>
      <c r="B41" s="151">
        <v>244</v>
      </c>
      <c r="C41" s="148" t="s">
        <v>201</v>
      </c>
      <c r="D41" s="148"/>
      <c r="E41" s="154">
        <f t="shared" si="14"/>
        <v>0</v>
      </c>
      <c r="F41" s="154">
        <f t="shared" si="13"/>
        <v>0</v>
      </c>
      <c r="G41" s="154">
        <f t="shared" si="13"/>
        <v>0</v>
      </c>
      <c r="H41" s="315"/>
      <c r="I41" s="315"/>
      <c r="J41" s="315"/>
      <c r="K41" s="315"/>
      <c r="L41" s="315"/>
      <c r="M41" s="315"/>
    </row>
    <row r="42" spans="1:13" s="143" customFormat="1" x14ac:dyDescent="0.3">
      <c r="A42" s="528" t="s">
        <v>202</v>
      </c>
      <c r="B42" s="151">
        <v>243</v>
      </c>
      <c r="C42" s="529" t="s">
        <v>203</v>
      </c>
      <c r="D42" s="148"/>
      <c r="E42" s="154">
        <f t="shared" si="14"/>
        <v>0</v>
      </c>
      <c r="F42" s="154">
        <f t="shared" si="13"/>
        <v>0</v>
      </c>
      <c r="G42" s="154">
        <f t="shared" si="13"/>
        <v>0</v>
      </c>
      <c r="H42" s="315"/>
      <c r="I42" s="315"/>
      <c r="J42" s="315"/>
      <c r="K42" s="315"/>
      <c r="L42" s="315"/>
      <c r="M42" s="315"/>
    </row>
    <row r="43" spans="1:13" s="143" customFormat="1" x14ac:dyDescent="0.3">
      <c r="A43" s="528"/>
      <c r="B43" s="151">
        <v>244</v>
      </c>
      <c r="C43" s="529"/>
      <c r="D43" s="148"/>
      <c r="E43" s="154">
        <f t="shared" si="14"/>
        <v>637885.28</v>
      </c>
      <c r="F43" s="154">
        <f t="shared" si="13"/>
        <v>0</v>
      </c>
      <c r="G43" s="154">
        <f t="shared" si="13"/>
        <v>0</v>
      </c>
      <c r="H43" s="315">
        <v>253186.48</v>
      </c>
      <c r="I43" s="315"/>
      <c r="J43" s="315"/>
      <c r="K43" s="315">
        <v>384698.8</v>
      </c>
      <c r="L43" s="315"/>
      <c r="M43" s="315"/>
    </row>
    <row r="44" spans="1:13" s="143" customFormat="1" x14ac:dyDescent="0.3">
      <c r="A44" s="528" t="s">
        <v>204</v>
      </c>
      <c r="B44" s="151">
        <v>243</v>
      </c>
      <c r="C44" s="529" t="s">
        <v>205</v>
      </c>
      <c r="D44" s="148"/>
      <c r="E44" s="154">
        <f t="shared" si="14"/>
        <v>0</v>
      </c>
      <c r="F44" s="154">
        <f t="shared" si="13"/>
        <v>0</v>
      </c>
      <c r="G44" s="154">
        <f t="shared" si="13"/>
        <v>0</v>
      </c>
      <c r="H44" s="315"/>
      <c r="I44" s="315"/>
      <c r="J44" s="315"/>
      <c r="K44" s="315"/>
      <c r="L44" s="315"/>
      <c r="M44" s="315"/>
    </row>
    <row r="45" spans="1:13" s="143" customFormat="1" x14ac:dyDescent="0.3">
      <c r="A45" s="528"/>
      <c r="B45" s="151">
        <v>244</v>
      </c>
      <c r="C45" s="529"/>
      <c r="D45" s="148"/>
      <c r="E45" s="154">
        <f t="shared" si="14"/>
        <v>1052325.5</v>
      </c>
      <c r="F45" s="154">
        <f t="shared" si="13"/>
        <v>0</v>
      </c>
      <c r="G45" s="154">
        <f t="shared" si="13"/>
        <v>0</v>
      </c>
      <c r="H45" s="315">
        <v>652127</v>
      </c>
      <c r="I45" s="315"/>
      <c r="J45" s="315"/>
      <c r="K45" s="315">
        <v>400198.5</v>
      </c>
      <c r="L45" s="315"/>
      <c r="M45" s="315"/>
    </row>
    <row r="46" spans="1:13" s="143" customFormat="1" x14ac:dyDescent="0.3">
      <c r="A46" s="528"/>
      <c r="B46" s="151">
        <v>407</v>
      </c>
      <c r="C46" s="529"/>
      <c r="D46" s="148"/>
      <c r="E46" s="154">
        <f t="shared" si="14"/>
        <v>0</v>
      </c>
      <c r="F46" s="154">
        <f t="shared" si="13"/>
        <v>0</v>
      </c>
      <c r="G46" s="154">
        <f t="shared" si="13"/>
        <v>0</v>
      </c>
      <c r="H46" s="315"/>
      <c r="I46" s="315"/>
      <c r="J46" s="315"/>
      <c r="K46" s="315"/>
      <c r="L46" s="315"/>
      <c r="M46" s="315"/>
    </row>
    <row r="47" spans="1:13" s="143" customFormat="1" x14ac:dyDescent="0.3">
      <c r="A47" s="528" t="s">
        <v>207</v>
      </c>
      <c r="B47" s="151">
        <v>113</v>
      </c>
      <c r="C47" s="529" t="s">
        <v>208</v>
      </c>
      <c r="D47" s="148"/>
      <c r="E47" s="154">
        <f t="shared" si="14"/>
        <v>0</v>
      </c>
      <c r="F47" s="154">
        <f t="shared" si="13"/>
        <v>0</v>
      </c>
      <c r="G47" s="154">
        <f t="shared" si="13"/>
        <v>0</v>
      </c>
      <c r="H47" s="315"/>
      <c r="I47" s="315"/>
      <c r="J47" s="315"/>
      <c r="K47" s="315"/>
      <c r="L47" s="315"/>
      <c r="M47" s="315"/>
    </row>
    <row r="48" spans="1:13" s="143" customFormat="1" x14ac:dyDescent="0.3">
      <c r="A48" s="528"/>
      <c r="B48" s="151">
        <v>244</v>
      </c>
      <c r="C48" s="529"/>
      <c r="D48" s="148"/>
      <c r="E48" s="154">
        <f t="shared" si="14"/>
        <v>0</v>
      </c>
      <c r="F48" s="154">
        <f t="shared" si="13"/>
        <v>0</v>
      </c>
      <c r="G48" s="154">
        <f t="shared" si="13"/>
        <v>0</v>
      </c>
      <c r="H48" s="315"/>
      <c r="I48" s="315"/>
      <c r="J48" s="315"/>
      <c r="K48" s="315"/>
      <c r="L48" s="315"/>
      <c r="M48" s="315"/>
    </row>
    <row r="49" spans="1:14" s="143" customFormat="1" x14ac:dyDescent="0.3">
      <c r="A49" s="147" t="s">
        <v>359</v>
      </c>
      <c r="B49" s="151">
        <v>244</v>
      </c>
      <c r="C49" s="148" t="s">
        <v>210</v>
      </c>
      <c r="D49" s="148"/>
      <c r="E49" s="154">
        <f t="shared" si="14"/>
        <v>307911.58</v>
      </c>
      <c r="F49" s="154">
        <f t="shared" si="13"/>
        <v>0</v>
      </c>
      <c r="G49" s="154">
        <f t="shared" si="13"/>
        <v>0</v>
      </c>
      <c r="H49" s="315">
        <v>307911.58</v>
      </c>
      <c r="I49" s="315"/>
      <c r="J49" s="315"/>
      <c r="K49" s="315"/>
      <c r="L49" s="315"/>
      <c r="M49" s="315"/>
    </row>
    <row r="50" spans="1:14" s="143" customFormat="1" ht="31.2" x14ac:dyDescent="0.3">
      <c r="A50" s="147" t="s">
        <v>360</v>
      </c>
      <c r="B50" s="151">
        <v>244</v>
      </c>
      <c r="C50" s="148" t="s">
        <v>212</v>
      </c>
      <c r="D50" s="148"/>
      <c r="E50" s="154">
        <f t="shared" si="14"/>
        <v>10833</v>
      </c>
      <c r="F50" s="154">
        <f t="shared" si="13"/>
        <v>0</v>
      </c>
      <c r="G50" s="154">
        <f t="shared" si="13"/>
        <v>0</v>
      </c>
      <c r="H50" s="315">
        <v>10833</v>
      </c>
      <c r="I50" s="315"/>
      <c r="J50" s="315"/>
      <c r="K50" s="315"/>
      <c r="L50" s="315"/>
      <c r="M50" s="315"/>
    </row>
    <row r="51" spans="1:14" s="143" customFormat="1" x14ac:dyDescent="0.3">
      <c r="A51" s="147" t="s">
        <v>361</v>
      </c>
      <c r="B51" s="151">
        <v>244</v>
      </c>
      <c r="C51" s="148" t="s">
        <v>214</v>
      </c>
      <c r="D51" s="148"/>
      <c r="E51" s="154">
        <f t="shared" si="14"/>
        <v>2304007.19</v>
      </c>
      <c r="F51" s="154">
        <f t="shared" si="13"/>
        <v>0</v>
      </c>
      <c r="G51" s="154">
        <f t="shared" si="13"/>
        <v>0</v>
      </c>
      <c r="H51" s="315">
        <v>2304007.19</v>
      </c>
      <c r="I51" s="315"/>
      <c r="J51" s="315"/>
      <c r="K51" s="315"/>
      <c r="L51" s="315"/>
      <c r="M51" s="315"/>
    </row>
    <row r="52" spans="1:14" s="143" customFormat="1" x14ac:dyDescent="0.3">
      <c r="A52" s="147" t="s">
        <v>362</v>
      </c>
      <c r="B52" s="151">
        <v>244</v>
      </c>
      <c r="C52" s="148" t="s">
        <v>216</v>
      </c>
      <c r="D52" s="148"/>
      <c r="E52" s="154">
        <f t="shared" si="14"/>
        <v>2182069.08</v>
      </c>
      <c r="F52" s="154">
        <f t="shared" ref="F52:F54" si="15">I52+L52</f>
        <v>0</v>
      </c>
      <c r="G52" s="154">
        <f t="shared" ref="G52:G54" si="16">J52+M52</f>
        <v>0</v>
      </c>
      <c r="H52" s="315">
        <v>1533196</v>
      </c>
      <c r="I52" s="315"/>
      <c r="J52" s="315"/>
      <c r="K52" s="315">
        <v>648873.07999999996</v>
      </c>
      <c r="L52" s="315"/>
      <c r="M52" s="315"/>
    </row>
    <row r="53" spans="1:14" s="143" customFormat="1" ht="31.2" x14ac:dyDescent="0.3">
      <c r="A53" s="147" t="s">
        <v>363</v>
      </c>
      <c r="B53" s="151">
        <v>244</v>
      </c>
      <c r="C53" s="148" t="s">
        <v>218</v>
      </c>
      <c r="D53" s="148"/>
      <c r="E53" s="154">
        <f t="shared" si="14"/>
        <v>507519.33</v>
      </c>
      <c r="F53" s="154">
        <f t="shared" si="15"/>
        <v>0</v>
      </c>
      <c r="G53" s="154">
        <f t="shared" si="16"/>
        <v>0</v>
      </c>
      <c r="H53" s="315">
        <f>198841-48160</f>
        <v>150681</v>
      </c>
      <c r="I53" s="315"/>
      <c r="J53" s="315"/>
      <c r="K53" s="315">
        <v>356838.33</v>
      </c>
      <c r="L53" s="315"/>
      <c r="M53" s="315"/>
    </row>
    <row r="54" spans="1:14" s="143" customFormat="1" ht="31.2" x14ac:dyDescent="0.3">
      <c r="A54" s="147" t="s">
        <v>364</v>
      </c>
      <c r="B54" s="151">
        <v>244</v>
      </c>
      <c r="C54" s="148" t="s">
        <v>220</v>
      </c>
      <c r="D54" s="148"/>
      <c r="E54" s="154">
        <f t="shared" si="14"/>
        <v>314272.89</v>
      </c>
      <c r="F54" s="154">
        <f t="shared" si="15"/>
        <v>0</v>
      </c>
      <c r="G54" s="154">
        <f t="shared" si="16"/>
        <v>0</v>
      </c>
      <c r="H54" s="315">
        <v>181308</v>
      </c>
      <c r="I54" s="315"/>
      <c r="J54" s="315"/>
      <c r="K54" s="315">
        <v>132964.89000000001</v>
      </c>
      <c r="L54" s="315"/>
      <c r="M54" s="315"/>
    </row>
    <row r="55" spans="1:14" x14ac:dyDescent="0.3">
      <c r="E55" s="176"/>
      <c r="F55" s="176"/>
      <c r="G55" s="176"/>
    </row>
    <row r="57" spans="1:14" x14ac:dyDescent="0.3">
      <c r="A57" s="140" t="s">
        <v>352</v>
      </c>
      <c r="B57" s="428"/>
      <c r="C57" s="428"/>
      <c r="D57" s="428"/>
      <c r="E57" s="363"/>
      <c r="F57" s="530"/>
      <c r="G57" s="530"/>
      <c r="H57" s="439"/>
      <c r="I57" s="526" t="s">
        <v>810</v>
      </c>
      <c r="J57" s="526"/>
      <c r="K57" s="363"/>
      <c r="L57" s="363"/>
      <c r="M57" s="363"/>
      <c r="N57" s="362"/>
    </row>
    <row r="58" spans="1:14" x14ac:dyDescent="0.3">
      <c r="A58" s="139" t="s">
        <v>154</v>
      </c>
      <c r="B58" s="428"/>
      <c r="C58" s="428"/>
      <c r="D58" s="428"/>
      <c r="E58" s="363"/>
      <c r="F58" s="527" t="s">
        <v>96</v>
      </c>
      <c r="G58" s="527"/>
      <c r="H58" s="440"/>
      <c r="I58" s="527" t="s">
        <v>97</v>
      </c>
      <c r="J58" s="527"/>
      <c r="K58" s="363"/>
      <c r="L58" s="363"/>
      <c r="M58" s="363"/>
      <c r="N58" s="362"/>
    </row>
    <row r="59" spans="1:14" x14ac:dyDescent="0.3">
      <c r="A59" s="140" t="s">
        <v>296</v>
      </c>
      <c r="B59" s="428"/>
      <c r="C59" s="428"/>
      <c r="D59" s="428"/>
      <c r="E59" s="363"/>
      <c r="F59" s="530"/>
      <c r="G59" s="530"/>
      <c r="H59" s="439"/>
      <c r="I59" s="526" t="s">
        <v>811</v>
      </c>
      <c r="J59" s="526"/>
      <c r="K59" s="363"/>
      <c r="L59" s="363"/>
      <c r="M59" s="363"/>
      <c r="N59" s="362"/>
    </row>
    <row r="60" spans="1:14" x14ac:dyDescent="0.3">
      <c r="A60" s="142"/>
      <c r="B60" s="428"/>
      <c r="C60" s="428"/>
      <c r="D60" s="428"/>
      <c r="E60" s="363"/>
      <c r="F60" s="527" t="s">
        <v>96</v>
      </c>
      <c r="G60" s="527"/>
      <c r="H60" s="440"/>
      <c r="I60" s="527" t="s">
        <v>97</v>
      </c>
      <c r="J60" s="527"/>
      <c r="K60" s="363"/>
      <c r="L60" s="363"/>
      <c r="M60" s="363"/>
      <c r="N60" s="362"/>
    </row>
    <row r="61" spans="1:14" x14ac:dyDescent="0.3">
      <c r="A61" s="142"/>
      <c r="B61" s="428"/>
      <c r="C61" s="428"/>
      <c r="D61" s="428"/>
      <c r="E61" s="363"/>
      <c r="F61" s="363"/>
      <c r="G61" s="363"/>
      <c r="H61" s="363"/>
      <c r="I61" s="363"/>
      <c r="J61" s="363"/>
      <c r="K61" s="363"/>
      <c r="L61" s="363"/>
      <c r="M61" s="363"/>
      <c r="N61" s="362"/>
    </row>
    <row r="62" spans="1:14" x14ac:dyDescent="0.3">
      <c r="A62" s="140" t="s">
        <v>297</v>
      </c>
      <c r="B62" s="524" t="s">
        <v>910</v>
      </c>
      <c r="C62" s="524"/>
      <c r="D62" s="524"/>
      <c r="E62" s="524"/>
      <c r="F62" s="524"/>
      <c r="G62" s="429"/>
      <c r="H62" s="429"/>
      <c r="I62" s="524" t="s">
        <v>811</v>
      </c>
      <c r="J62" s="524"/>
      <c r="K62" s="524"/>
      <c r="L62" s="429"/>
      <c r="M62" s="429"/>
      <c r="N62" s="362"/>
    </row>
    <row r="63" spans="1:14" s="61" customFormat="1" ht="13.2" x14ac:dyDescent="0.25">
      <c r="A63" s="144"/>
      <c r="B63" s="415"/>
      <c r="C63" s="441"/>
      <c r="D63" s="441"/>
      <c r="E63" s="431" t="s">
        <v>152</v>
      </c>
      <c r="F63" s="431"/>
      <c r="G63" s="431"/>
      <c r="H63" s="431" t="s">
        <v>96</v>
      </c>
      <c r="I63" s="431"/>
      <c r="J63" s="431" t="s">
        <v>97</v>
      </c>
      <c r="K63" s="431"/>
      <c r="L63" s="431"/>
      <c r="M63" s="431" t="s">
        <v>176</v>
      </c>
      <c r="N63" s="415"/>
    </row>
    <row r="64" spans="1:14" x14ac:dyDescent="0.3">
      <c r="B64" s="428"/>
      <c r="C64" s="428"/>
      <c r="D64" s="428"/>
      <c r="E64" s="363"/>
      <c r="F64" s="363"/>
      <c r="G64" s="363"/>
      <c r="H64" s="363"/>
      <c r="I64" s="363"/>
      <c r="J64" s="363"/>
      <c r="K64" s="363"/>
      <c r="L64" s="363"/>
      <c r="M64" s="363"/>
      <c r="N64" s="362"/>
    </row>
  </sheetData>
  <mergeCells count="34">
    <mergeCell ref="B62:F62"/>
    <mergeCell ref="I62:K62"/>
    <mergeCell ref="A6:M6"/>
    <mergeCell ref="A3:M3"/>
    <mergeCell ref="E8:M8"/>
    <mergeCell ref="H9:M9"/>
    <mergeCell ref="A4:M5"/>
    <mergeCell ref="A8:A11"/>
    <mergeCell ref="B8:B11"/>
    <mergeCell ref="C8:C11"/>
    <mergeCell ref="D8:D11"/>
    <mergeCell ref="K10:M10"/>
    <mergeCell ref="E9:G10"/>
    <mergeCell ref="H10:J10"/>
    <mergeCell ref="A22:A23"/>
    <mergeCell ref="C22:C23"/>
    <mergeCell ref="A24:A26"/>
    <mergeCell ref="C24:C26"/>
    <mergeCell ref="A27:A28"/>
    <mergeCell ref="C27:C28"/>
    <mergeCell ref="A42:A43"/>
    <mergeCell ref="C42:C43"/>
    <mergeCell ref="I57:J57"/>
    <mergeCell ref="I58:J58"/>
    <mergeCell ref="I59:J59"/>
    <mergeCell ref="I60:J60"/>
    <mergeCell ref="A44:A46"/>
    <mergeCell ref="C44:C46"/>
    <mergeCell ref="A47:A48"/>
    <mergeCell ref="C47:C48"/>
    <mergeCell ref="F60:G60"/>
    <mergeCell ref="F57:G57"/>
    <mergeCell ref="F58:G58"/>
    <mergeCell ref="F59:G59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4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zoomScale="80" zoomScaleNormal="80" workbookViewId="0">
      <selection activeCell="C31" sqref="C31"/>
    </sheetView>
  </sheetViews>
  <sheetFormatPr defaultColWidth="9.109375" defaultRowHeight="15.6" x14ac:dyDescent="0.3"/>
  <cols>
    <col min="1" max="1" width="58.88671875" style="1" customWidth="1"/>
    <col min="2" max="2" width="13" style="1" customWidth="1"/>
    <col min="3" max="3" width="41.109375" style="363" customWidth="1"/>
    <col min="4" max="16384" width="9.109375" style="57"/>
  </cols>
  <sheetData>
    <row r="1" spans="1:3" x14ac:dyDescent="0.3">
      <c r="C1" s="420" t="s">
        <v>82</v>
      </c>
    </row>
    <row r="3" spans="1:3" s="59" customFormat="1" ht="18" x14ac:dyDescent="0.35">
      <c r="A3" s="518" t="s">
        <v>368</v>
      </c>
      <c r="B3" s="518"/>
      <c r="C3" s="518"/>
    </row>
    <row r="4" spans="1:3" s="59" customFormat="1" ht="18" x14ac:dyDescent="0.35">
      <c r="A4" s="519" t="str">
        <f>'Заголовочная часть'!B14</f>
        <v>Областное государственное бюджетное профессиональное образовательное учреждение "Костромской автодорожный колледж"</v>
      </c>
      <c r="B4" s="519"/>
      <c r="C4" s="519"/>
    </row>
    <row r="5" spans="1:3" s="59" customFormat="1" ht="18" x14ac:dyDescent="0.35">
      <c r="A5" s="519"/>
      <c r="B5" s="519"/>
      <c r="C5" s="519"/>
    </row>
    <row r="6" spans="1:3" s="59" customFormat="1" ht="18" x14ac:dyDescent="0.35">
      <c r="A6" s="518" t="str">
        <f>'Заголовочная часть'!A10</f>
        <v>на 2018 финансовый год и плановый период 2019 и 2020 годов</v>
      </c>
      <c r="B6" s="518"/>
      <c r="C6" s="518"/>
    </row>
    <row r="8" spans="1:3" ht="31.2" x14ac:dyDescent="0.3">
      <c r="A8" s="18" t="s">
        <v>2</v>
      </c>
      <c r="B8" s="18" t="s">
        <v>52</v>
      </c>
      <c r="C8" s="433" t="s">
        <v>369</v>
      </c>
    </row>
    <row r="9" spans="1:3" ht="16.2" thickBot="1" x14ac:dyDescent="0.35">
      <c r="A9" s="4">
        <v>1</v>
      </c>
      <c r="B9" s="18">
        <v>2</v>
      </c>
      <c r="C9" s="442">
        <v>3</v>
      </c>
    </row>
    <row r="10" spans="1:3" s="58" customFormat="1" x14ac:dyDescent="0.3">
      <c r="A10" s="160" t="s">
        <v>70</v>
      </c>
      <c r="B10" s="19" t="s">
        <v>83</v>
      </c>
      <c r="C10" s="443">
        <v>121000</v>
      </c>
    </row>
    <row r="11" spans="1:3" s="58" customFormat="1" x14ac:dyDescent="0.3">
      <c r="A11" s="160" t="s">
        <v>71</v>
      </c>
      <c r="B11" s="23" t="s">
        <v>84</v>
      </c>
      <c r="C11" s="444">
        <f>C10+C12-C14</f>
        <v>121000</v>
      </c>
    </row>
    <row r="12" spans="1:3" s="58" customFormat="1" x14ac:dyDescent="0.3">
      <c r="A12" s="160" t="s">
        <v>85</v>
      </c>
      <c r="B12" s="23" t="s">
        <v>86</v>
      </c>
      <c r="C12" s="444">
        <f>C13</f>
        <v>0</v>
      </c>
    </row>
    <row r="13" spans="1:3" x14ac:dyDescent="0.3">
      <c r="A13" s="29" t="s">
        <v>370</v>
      </c>
      <c r="B13" s="21"/>
      <c r="C13" s="445">
        <v>0</v>
      </c>
    </row>
    <row r="14" spans="1:3" s="58" customFormat="1" x14ac:dyDescent="0.3">
      <c r="A14" s="160" t="s">
        <v>87</v>
      </c>
      <c r="B14" s="23" t="s">
        <v>88</v>
      </c>
      <c r="C14" s="444">
        <f>C15</f>
        <v>0</v>
      </c>
    </row>
    <row r="15" spans="1:3" ht="16.2" thickBot="1" x14ac:dyDescent="0.35">
      <c r="A15" s="29" t="s">
        <v>370</v>
      </c>
      <c r="B15" s="27"/>
      <c r="C15" s="446">
        <v>0</v>
      </c>
    </row>
    <row r="23" spans="1:3" s="1" customFormat="1" x14ac:dyDescent="0.3">
      <c r="C23" s="420" t="s">
        <v>89</v>
      </c>
    </row>
    <row r="24" spans="1:3" s="1" customFormat="1" x14ac:dyDescent="0.3">
      <c r="C24" s="363"/>
    </row>
    <row r="25" spans="1:3" s="28" customFormat="1" ht="18" x14ac:dyDescent="0.35">
      <c r="A25" s="543" t="s">
        <v>90</v>
      </c>
      <c r="B25" s="543"/>
      <c r="C25" s="543"/>
    </row>
    <row r="26" spans="1:3" s="1" customFormat="1" x14ac:dyDescent="0.3">
      <c r="C26" s="363"/>
    </row>
    <row r="27" spans="1:3" s="1" customFormat="1" x14ac:dyDescent="0.3">
      <c r="A27" s="4" t="s">
        <v>2</v>
      </c>
      <c r="B27" s="4" t="s">
        <v>52</v>
      </c>
      <c r="C27" s="426" t="s">
        <v>91</v>
      </c>
    </row>
    <row r="28" spans="1:3" s="1" customFormat="1" ht="16.2" thickBot="1" x14ac:dyDescent="0.35">
      <c r="A28" s="4">
        <v>1</v>
      </c>
      <c r="B28" s="18">
        <v>2</v>
      </c>
      <c r="C28" s="442">
        <v>3</v>
      </c>
    </row>
    <row r="29" spans="1:3" s="162" customFormat="1" x14ac:dyDescent="0.3">
      <c r="A29" s="16" t="s">
        <v>92</v>
      </c>
      <c r="B29" s="19" t="s">
        <v>83</v>
      </c>
      <c r="C29" s="443">
        <f>C30</f>
        <v>755104.17</v>
      </c>
    </row>
    <row r="30" spans="1:3" s="162" customFormat="1" ht="62.4" x14ac:dyDescent="0.3">
      <c r="A30" s="16" t="s">
        <v>94</v>
      </c>
      <c r="B30" s="23" t="s">
        <v>84</v>
      </c>
      <c r="C30" s="444">
        <f>C31+C32</f>
        <v>755104.17</v>
      </c>
    </row>
    <row r="31" spans="1:3" s="1" customFormat="1" ht="46.8" x14ac:dyDescent="0.3">
      <c r="A31" s="17" t="s">
        <v>371</v>
      </c>
      <c r="B31" s="161"/>
      <c r="C31" s="447">
        <v>755104.17</v>
      </c>
    </row>
    <row r="32" spans="1:3" s="1" customFormat="1" x14ac:dyDescent="0.3">
      <c r="A32" s="17"/>
      <c r="B32" s="161"/>
      <c r="C32" s="447"/>
    </row>
    <row r="33" spans="1:3" s="162" customFormat="1" ht="31.8" thickBot="1" x14ac:dyDescent="0.35">
      <c r="A33" s="16" t="s">
        <v>93</v>
      </c>
      <c r="B33" s="24" t="s">
        <v>86</v>
      </c>
      <c r="C33" s="448">
        <v>0</v>
      </c>
    </row>
    <row r="36" spans="1:3" x14ac:dyDescent="0.3">
      <c r="A36" s="140" t="s">
        <v>175</v>
      </c>
      <c r="B36" s="115"/>
      <c r="C36" s="429" t="s">
        <v>810</v>
      </c>
    </row>
    <row r="37" spans="1:3" x14ac:dyDescent="0.3">
      <c r="A37" s="140"/>
      <c r="B37" s="111" t="s">
        <v>96</v>
      </c>
      <c r="C37" s="431" t="s">
        <v>97</v>
      </c>
    </row>
    <row r="38" spans="1:3" x14ac:dyDescent="0.3">
      <c r="A38" s="190" t="s">
        <v>154</v>
      </c>
      <c r="B38" s="116"/>
      <c r="C38" s="432"/>
    </row>
    <row r="39" spans="1:3" x14ac:dyDescent="0.3">
      <c r="A39" s="140" t="s">
        <v>296</v>
      </c>
      <c r="B39" s="115"/>
      <c r="C39" s="429" t="s">
        <v>811</v>
      </c>
    </row>
    <row r="40" spans="1:3" x14ac:dyDescent="0.3">
      <c r="A40" s="140"/>
      <c r="B40" s="111" t="s">
        <v>96</v>
      </c>
      <c r="C40" s="431" t="s">
        <v>97</v>
      </c>
    </row>
    <row r="41" spans="1:3" x14ac:dyDescent="0.3">
      <c r="A41" s="140"/>
      <c r="B41" s="116"/>
      <c r="C41" s="432"/>
    </row>
    <row r="42" spans="1:3" x14ac:dyDescent="0.3">
      <c r="A42" s="140" t="s">
        <v>297</v>
      </c>
      <c r="B42" s="115"/>
      <c r="C42" s="429" t="s">
        <v>811</v>
      </c>
    </row>
    <row r="43" spans="1:3" x14ac:dyDescent="0.3">
      <c r="A43" s="163"/>
      <c r="B43" s="111" t="s">
        <v>96</v>
      </c>
      <c r="C43" s="431" t="s">
        <v>97</v>
      </c>
    </row>
  </sheetData>
  <mergeCells count="4">
    <mergeCell ref="A3:C3"/>
    <mergeCell ref="A6:C6"/>
    <mergeCell ref="A25:C25"/>
    <mergeCell ref="A4:C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opLeftCell="A4" zoomScale="70" zoomScaleNormal="70" workbookViewId="0">
      <selection activeCell="D13" sqref="D13"/>
    </sheetView>
  </sheetViews>
  <sheetFormatPr defaultColWidth="9.109375" defaultRowHeight="15.6" x14ac:dyDescent="0.3"/>
  <cols>
    <col min="1" max="1" width="45.88671875" style="73" customWidth="1"/>
    <col min="2" max="2" width="6.33203125" style="73" bestFit="1" customWidth="1"/>
    <col min="3" max="3" width="9.5546875" style="73" customWidth="1"/>
    <col min="4" max="6" width="15.6640625" style="137" customWidth="1"/>
    <col min="7" max="9" width="15.6640625" style="73" customWidth="1"/>
    <col min="10" max="10" width="15.6640625" style="73" hidden="1" customWidth="1"/>
    <col min="11" max="11" width="15.6640625" style="137" customWidth="1"/>
    <col min="12" max="13" width="15.6640625" style="73" customWidth="1"/>
    <col min="14" max="16384" width="9.109375" style="57"/>
  </cols>
  <sheetData>
    <row r="1" spans="1:13" x14ac:dyDescent="0.3">
      <c r="L1" s="74"/>
      <c r="M1" s="74" t="s">
        <v>332</v>
      </c>
    </row>
    <row r="2" spans="1:13" ht="17.399999999999999" x14ac:dyDescent="0.3">
      <c r="A2" s="553" t="s">
        <v>330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</row>
    <row r="3" spans="1:13" x14ac:dyDescent="0.3">
      <c r="A3" s="557" t="str">
        <f>'Заголовочная часть'!B14</f>
        <v>Областное государственное бюджетное профессиональное образовательное учреждение "Костромской автодорожный колледж"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</row>
    <row r="4" spans="1:13" x14ac:dyDescent="0.3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</row>
    <row r="6" spans="1:13" s="58" customFormat="1" x14ac:dyDescent="0.3">
      <c r="A6" s="554" t="s">
        <v>2</v>
      </c>
      <c r="B6" s="558" t="s">
        <v>178</v>
      </c>
      <c r="C6" s="559"/>
      <c r="D6" s="554" t="s">
        <v>179</v>
      </c>
      <c r="E6" s="555" t="s">
        <v>331</v>
      </c>
      <c r="F6" s="555"/>
      <c r="G6" s="555"/>
      <c r="H6" s="555"/>
      <c r="I6" s="555"/>
      <c r="J6" s="555"/>
      <c r="K6" s="555"/>
      <c r="L6" s="555"/>
      <c r="M6" s="555"/>
    </row>
    <row r="7" spans="1:13" s="58" customFormat="1" x14ac:dyDescent="0.3">
      <c r="A7" s="554"/>
      <c r="B7" s="560"/>
      <c r="C7" s="561"/>
      <c r="D7" s="554"/>
      <c r="E7" s="554" t="s">
        <v>335</v>
      </c>
      <c r="F7" s="552" t="s">
        <v>333</v>
      </c>
      <c r="G7" s="552"/>
      <c r="H7" s="552"/>
      <c r="I7" s="552"/>
      <c r="J7" s="552"/>
      <c r="K7" s="552" t="s">
        <v>334</v>
      </c>
      <c r="L7" s="552"/>
      <c r="M7" s="552"/>
    </row>
    <row r="8" spans="1:13" s="58" customFormat="1" x14ac:dyDescent="0.3">
      <c r="A8" s="554"/>
      <c r="B8" s="560"/>
      <c r="C8" s="561"/>
      <c r="D8" s="554"/>
      <c r="E8" s="554"/>
      <c r="F8" s="552" t="s">
        <v>22</v>
      </c>
      <c r="G8" s="556" t="s">
        <v>6</v>
      </c>
      <c r="H8" s="556"/>
      <c r="I8" s="556"/>
      <c r="J8" s="556"/>
      <c r="K8" s="552" t="s">
        <v>22</v>
      </c>
      <c r="L8" s="552" t="s">
        <v>6</v>
      </c>
      <c r="M8" s="552"/>
    </row>
    <row r="9" spans="1:13" s="58" customFormat="1" ht="82.5" customHeight="1" x14ac:dyDescent="0.3">
      <c r="A9" s="554"/>
      <c r="B9" s="562"/>
      <c r="C9" s="563"/>
      <c r="D9" s="554"/>
      <c r="E9" s="554"/>
      <c r="F9" s="552"/>
      <c r="G9" s="319" t="s">
        <v>336</v>
      </c>
      <c r="H9" s="319" t="s">
        <v>337</v>
      </c>
      <c r="I9" s="319" t="s">
        <v>338</v>
      </c>
      <c r="J9" s="319" t="s">
        <v>339</v>
      </c>
      <c r="K9" s="552"/>
      <c r="L9" s="319" t="s">
        <v>340</v>
      </c>
      <c r="M9" s="319" t="s">
        <v>341</v>
      </c>
    </row>
    <row r="10" spans="1:13" s="58" customFormat="1" x14ac:dyDescent="0.3">
      <c r="A10" s="320">
        <v>1</v>
      </c>
      <c r="B10" s="564">
        <v>2</v>
      </c>
      <c r="C10" s="565"/>
      <c r="D10" s="320">
        <v>3</v>
      </c>
      <c r="E10" s="320">
        <v>4</v>
      </c>
      <c r="F10" s="320">
        <v>5</v>
      </c>
      <c r="G10" s="320">
        <v>6</v>
      </c>
      <c r="H10" s="320">
        <v>7</v>
      </c>
      <c r="I10" s="320">
        <v>8</v>
      </c>
      <c r="J10" s="320">
        <v>9</v>
      </c>
      <c r="K10" s="320">
        <v>10</v>
      </c>
      <c r="L10" s="320">
        <v>11</v>
      </c>
      <c r="M10" s="320">
        <v>12</v>
      </c>
    </row>
    <row r="11" spans="1:13" s="58" customFormat="1" x14ac:dyDescent="0.3">
      <c r="A11" s="82" t="s">
        <v>70</v>
      </c>
      <c r="B11" s="566" t="s">
        <v>342</v>
      </c>
      <c r="C11" s="567"/>
      <c r="D11" s="78">
        <f>E11+F11+K11</f>
        <v>252615.65</v>
      </c>
      <c r="E11" s="78">
        <v>5494.62</v>
      </c>
      <c r="F11" s="78">
        <f>SUM(G11:J11)</f>
        <v>247121.03</v>
      </c>
      <c r="G11" s="78"/>
      <c r="H11" s="78">
        <v>3072.26</v>
      </c>
      <c r="I11" s="78">
        <v>244048.77</v>
      </c>
      <c r="J11" s="78"/>
      <c r="K11" s="78">
        <f>SUM(L11:M11)</f>
        <v>0</v>
      </c>
      <c r="L11" s="78"/>
      <c r="M11" s="76"/>
    </row>
    <row r="12" spans="1:13" s="58" customFormat="1" x14ac:dyDescent="0.3">
      <c r="A12" s="77" t="s">
        <v>58</v>
      </c>
      <c r="B12" s="548"/>
      <c r="C12" s="549"/>
      <c r="D12" s="78">
        <f>E12+F12+K12</f>
        <v>49173616.619999997</v>
      </c>
      <c r="E12" s="78">
        <f>E13+E14+E15+E16+E17+E30+E31+E34+E35+E36</f>
        <v>34369443.479999997</v>
      </c>
      <c r="F12" s="78">
        <f t="shared" ref="F12:F36" si="0">SUM(G12:J12)</f>
        <v>10797410.42</v>
      </c>
      <c r="G12" s="78">
        <f>G13+G14+G15+G16+G17+G30+G31+G34+G35+G36</f>
        <v>20000</v>
      </c>
      <c r="H12" s="78">
        <f t="shared" ref="H12:M12" si="1">H13+H14+H15+H16+H17+H30+H31+H34+H35+H36</f>
        <v>392300</v>
      </c>
      <c r="I12" s="78">
        <f t="shared" si="1"/>
        <v>10385110.42</v>
      </c>
      <c r="J12" s="78">
        <f t="shared" si="1"/>
        <v>0</v>
      </c>
      <c r="K12" s="78">
        <f t="shared" ref="K12:K36" si="2">SUM(L12:M12)</f>
        <v>4006762.72</v>
      </c>
      <c r="L12" s="78">
        <f t="shared" si="1"/>
        <v>0</v>
      </c>
      <c r="M12" s="78">
        <f t="shared" si="1"/>
        <v>4006762.72</v>
      </c>
    </row>
    <row r="13" spans="1:13" s="58" customFormat="1" ht="31.2" x14ac:dyDescent="0.3">
      <c r="A13" s="77" t="s">
        <v>350</v>
      </c>
      <c r="B13" s="548" t="s">
        <v>346</v>
      </c>
      <c r="C13" s="549"/>
      <c r="D13" s="78">
        <f t="shared" ref="D13:D36" si="3">E13+F13+K13</f>
        <v>34369443.479999997</v>
      </c>
      <c r="E13" s="78">
        <v>34369443.479999997</v>
      </c>
      <c r="F13" s="78">
        <f t="shared" si="0"/>
        <v>0</v>
      </c>
      <c r="G13" s="78"/>
      <c r="H13" s="78"/>
      <c r="I13" s="78"/>
      <c r="J13" s="78"/>
      <c r="K13" s="78">
        <f t="shared" si="2"/>
        <v>0</v>
      </c>
      <c r="L13" s="78"/>
      <c r="M13" s="76"/>
    </row>
    <row r="14" spans="1:13" s="58" customFormat="1" x14ac:dyDescent="0.3">
      <c r="A14" s="77" t="s">
        <v>351</v>
      </c>
      <c r="B14" s="548" t="s">
        <v>345</v>
      </c>
      <c r="C14" s="549"/>
      <c r="D14" s="78">
        <f t="shared" si="3"/>
        <v>4006762.72</v>
      </c>
      <c r="E14" s="78"/>
      <c r="F14" s="78">
        <f t="shared" si="0"/>
        <v>0</v>
      </c>
      <c r="G14" s="78"/>
      <c r="H14" s="78"/>
      <c r="I14" s="78"/>
      <c r="J14" s="78"/>
      <c r="K14" s="78">
        <f t="shared" si="2"/>
        <v>4006762.72</v>
      </c>
      <c r="L14" s="78"/>
      <c r="M14" s="76">
        <v>4006762.72</v>
      </c>
    </row>
    <row r="15" spans="1:13" s="58" customFormat="1" ht="31.2" x14ac:dyDescent="0.3">
      <c r="A15" s="82" t="s">
        <v>246</v>
      </c>
      <c r="B15" s="548" t="s">
        <v>343</v>
      </c>
      <c r="C15" s="549"/>
      <c r="D15" s="78">
        <f t="shared" si="3"/>
        <v>392300</v>
      </c>
      <c r="E15" s="78"/>
      <c r="F15" s="78">
        <f t="shared" si="0"/>
        <v>392300</v>
      </c>
      <c r="G15" s="78"/>
      <c r="H15" s="78">
        <v>392300</v>
      </c>
      <c r="I15" s="78"/>
      <c r="J15" s="78"/>
      <c r="K15" s="78">
        <f t="shared" si="2"/>
        <v>0</v>
      </c>
      <c r="L15" s="78"/>
      <c r="M15" s="76"/>
    </row>
    <row r="16" spans="1:13" s="88" customFormat="1" ht="31.2" x14ac:dyDescent="0.3">
      <c r="A16" s="86" t="s">
        <v>240</v>
      </c>
      <c r="B16" s="568" t="s">
        <v>345</v>
      </c>
      <c r="C16" s="569"/>
      <c r="D16" s="78">
        <f t="shared" si="3"/>
        <v>0</v>
      </c>
      <c r="E16" s="87"/>
      <c r="F16" s="87">
        <f t="shared" si="0"/>
        <v>0</v>
      </c>
      <c r="G16" s="87"/>
      <c r="H16" s="87"/>
      <c r="I16" s="87"/>
      <c r="J16" s="87"/>
      <c r="K16" s="87">
        <f t="shared" si="2"/>
        <v>0</v>
      </c>
      <c r="L16" s="87"/>
      <c r="M16" s="138"/>
    </row>
    <row r="17" spans="1:13" s="58" customFormat="1" ht="63.6" x14ac:dyDescent="0.35">
      <c r="A17" s="82" t="s">
        <v>344</v>
      </c>
      <c r="B17" s="548" t="s">
        <v>346</v>
      </c>
      <c r="C17" s="549"/>
      <c r="D17" s="78">
        <f t="shared" si="3"/>
        <v>10380110.42</v>
      </c>
      <c r="E17" s="78">
        <f>SUM(E18:E29)</f>
        <v>0</v>
      </c>
      <c r="F17" s="78">
        <f t="shared" si="0"/>
        <v>10380110.42</v>
      </c>
      <c r="G17" s="78">
        <f>SUM(G18:G29)</f>
        <v>0</v>
      </c>
      <c r="H17" s="78">
        <f t="shared" ref="H17:J17" si="4">SUM(H18:H29)</f>
        <v>0</v>
      </c>
      <c r="I17" s="78">
        <f t="shared" si="4"/>
        <v>10380110.42</v>
      </c>
      <c r="J17" s="78">
        <f t="shared" si="4"/>
        <v>0</v>
      </c>
      <c r="K17" s="78">
        <f t="shared" si="2"/>
        <v>0</v>
      </c>
      <c r="L17" s="78">
        <f t="shared" ref="L17" si="5">SUM(L18:L29)</f>
        <v>0</v>
      </c>
      <c r="M17" s="78">
        <f t="shared" ref="M17" si="6">SUM(M18:M29)</f>
        <v>0</v>
      </c>
    </row>
    <row r="18" spans="1:13" s="58" customFormat="1" ht="31.2" x14ac:dyDescent="0.3">
      <c r="A18" s="83" t="s">
        <v>234</v>
      </c>
      <c r="B18" s="550" t="s">
        <v>346</v>
      </c>
      <c r="C18" s="551"/>
      <c r="D18" s="78">
        <f t="shared" si="3"/>
        <v>8701226.5</v>
      </c>
      <c r="E18" s="78"/>
      <c r="F18" s="78">
        <f t="shared" si="0"/>
        <v>8701226.5</v>
      </c>
      <c r="G18" s="81"/>
      <c r="H18" s="81"/>
      <c r="I18" s="81">
        <v>8701226.5</v>
      </c>
      <c r="J18" s="81"/>
      <c r="K18" s="78">
        <f t="shared" si="2"/>
        <v>0</v>
      </c>
      <c r="L18" s="78"/>
      <c r="M18" s="76"/>
    </row>
    <row r="19" spans="1:13" s="58" customFormat="1" ht="31.2" x14ac:dyDescent="0.3">
      <c r="A19" s="83" t="s">
        <v>235</v>
      </c>
      <c r="B19" s="550" t="s">
        <v>346</v>
      </c>
      <c r="C19" s="551"/>
      <c r="D19" s="78">
        <f t="shared" si="3"/>
        <v>0</v>
      </c>
      <c r="E19" s="78"/>
      <c r="F19" s="78">
        <f t="shared" si="0"/>
        <v>0</v>
      </c>
      <c r="G19" s="81"/>
      <c r="H19" s="81"/>
      <c r="I19" s="81"/>
      <c r="J19" s="81"/>
      <c r="K19" s="78">
        <f t="shared" si="2"/>
        <v>0</v>
      </c>
      <c r="L19" s="78"/>
      <c r="M19" s="76"/>
    </row>
    <row r="20" spans="1:13" s="58" customFormat="1" ht="31.2" x14ac:dyDescent="0.3">
      <c r="A20" s="83" t="s">
        <v>236</v>
      </c>
      <c r="B20" s="550" t="s">
        <v>346</v>
      </c>
      <c r="C20" s="551"/>
      <c r="D20" s="78">
        <f t="shared" si="3"/>
        <v>0</v>
      </c>
      <c r="E20" s="78"/>
      <c r="F20" s="78">
        <f t="shared" si="0"/>
        <v>0</v>
      </c>
      <c r="G20" s="81"/>
      <c r="H20" s="81"/>
      <c r="I20" s="81"/>
      <c r="J20" s="81"/>
      <c r="K20" s="78">
        <f t="shared" si="2"/>
        <v>0</v>
      </c>
      <c r="L20" s="78"/>
      <c r="M20" s="76"/>
    </row>
    <row r="21" spans="1:13" s="58" customFormat="1" ht="31.2" x14ac:dyDescent="0.3">
      <c r="A21" s="83" t="s">
        <v>237</v>
      </c>
      <c r="B21" s="550" t="s">
        <v>346</v>
      </c>
      <c r="C21" s="551"/>
      <c r="D21" s="78">
        <f t="shared" si="3"/>
        <v>0</v>
      </c>
      <c r="E21" s="78"/>
      <c r="F21" s="78">
        <f t="shared" si="0"/>
        <v>0</v>
      </c>
      <c r="G21" s="81"/>
      <c r="H21" s="81"/>
      <c r="I21" s="81"/>
      <c r="J21" s="81"/>
      <c r="K21" s="78">
        <f t="shared" si="2"/>
        <v>0</v>
      </c>
      <c r="L21" s="78"/>
      <c r="M21" s="76"/>
    </row>
    <row r="22" spans="1:13" s="58" customFormat="1" x14ac:dyDescent="0.3">
      <c r="A22" s="83" t="s">
        <v>221</v>
      </c>
      <c r="B22" s="550" t="s">
        <v>346</v>
      </c>
      <c r="C22" s="551"/>
      <c r="D22" s="78">
        <f t="shared" si="3"/>
        <v>422700</v>
      </c>
      <c r="E22" s="78"/>
      <c r="F22" s="78">
        <f t="shared" si="0"/>
        <v>422700</v>
      </c>
      <c r="G22" s="81"/>
      <c r="H22" s="81"/>
      <c r="I22" s="81">
        <f>845400/2</f>
        <v>422700</v>
      </c>
      <c r="J22" s="81"/>
      <c r="K22" s="78">
        <f t="shared" si="2"/>
        <v>0</v>
      </c>
      <c r="L22" s="78"/>
      <c r="M22" s="76"/>
    </row>
    <row r="23" spans="1:13" s="58" customFormat="1" ht="46.8" x14ac:dyDescent="0.3">
      <c r="A23" s="83" t="s">
        <v>238</v>
      </c>
      <c r="B23" s="550" t="s">
        <v>346</v>
      </c>
      <c r="C23" s="551"/>
      <c r="D23" s="78">
        <f t="shared" si="3"/>
        <v>940684</v>
      </c>
      <c r="E23" s="78"/>
      <c r="F23" s="78">
        <f t="shared" si="0"/>
        <v>940684</v>
      </c>
      <c r="G23" s="81"/>
      <c r="H23" s="81"/>
      <c r="I23" s="81">
        <v>940684</v>
      </c>
      <c r="J23" s="81"/>
      <c r="K23" s="78">
        <f t="shared" si="2"/>
        <v>0</v>
      </c>
      <c r="L23" s="78"/>
      <c r="M23" s="76"/>
    </row>
    <row r="24" spans="1:13" s="58" customFormat="1" ht="46.8" x14ac:dyDescent="0.3">
      <c r="A24" s="83" t="s">
        <v>239</v>
      </c>
      <c r="B24" s="550" t="s">
        <v>346</v>
      </c>
      <c r="C24" s="551"/>
      <c r="D24" s="78">
        <f t="shared" si="3"/>
        <v>195499.92</v>
      </c>
      <c r="E24" s="78"/>
      <c r="F24" s="78">
        <f t="shared" si="0"/>
        <v>195499.92</v>
      </c>
      <c r="G24" s="81"/>
      <c r="H24" s="81"/>
      <c r="I24" s="81">
        <v>195499.92</v>
      </c>
      <c r="J24" s="81"/>
      <c r="K24" s="78">
        <f t="shared" si="2"/>
        <v>0</v>
      </c>
      <c r="L24" s="78"/>
      <c r="M24" s="76"/>
    </row>
    <row r="25" spans="1:13" s="58" customFormat="1" x14ac:dyDescent="0.3">
      <c r="A25" s="83"/>
      <c r="B25" s="550" t="s">
        <v>346</v>
      </c>
      <c r="C25" s="551"/>
      <c r="D25" s="78">
        <f t="shared" si="3"/>
        <v>120000</v>
      </c>
      <c r="E25" s="78"/>
      <c r="F25" s="78">
        <f t="shared" si="0"/>
        <v>120000</v>
      </c>
      <c r="G25" s="81"/>
      <c r="H25" s="81"/>
      <c r="I25" s="81">
        <v>120000</v>
      </c>
      <c r="J25" s="81"/>
      <c r="K25" s="78">
        <f t="shared" si="2"/>
        <v>0</v>
      </c>
      <c r="L25" s="78"/>
      <c r="M25" s="76"/>
    </row>
    <row r="26" spans="1:13" s="58" customFormat="1" x14ac:dyDescent="0.3">
      <c r="A26" s="83"/>
      <c r="B26" s="550" t="s">
        <v>346</v>
      </c>
      <c r="C26" s="551"/>
      <c r="D26" s="78">
        <f t="shared" si="3"/>
        <v>0</v>
      </c>
      <c r="E26" s="78"/>
      <c r="F26" s="78">
        <f t="shared" si="0"/>
        <v>0</v>
      </c>
      <c r="G26" s="81"/>
      <c r="H26" s="81"/>
      <c r="I26" s="81"/>
      <c r="J26" s="81"/>
      <c r="K26" s="78">
        <f t="shared" si="2"/>
        <v>0</v>
      </c>
      <c r="L26" s="78"/>
      <c r="M26" s="76"/>
    </row>
    <row r="27" spans="1:13" s="58" customFormat="1" x14ac:dyDescent="0.3">
      <c r="A27" s="83"/>
      <c r="B27" s="550" t="s">
        <v>346</v>
      </c>
      <c r="C27" s="551"/>
      <c r="D27" s="78">
        <f t="shared" si="3"/>
        <v>0</v>
      </c>
      <c r="E27" s="78"/>
      <c r="F27" s="78">
        <f t="shared" si="0"/>
        <v>0</v>
      </c>
      <c r="G27" s="81"/>
      <c r="H27" s="81"/>
      <c r="I27" s="81"/>
      <c r="J27" s="81"/>
      <c r="K27" s="78">
        <f t="shared" si="2"/>
        <v>0</v>
      </c>
      <c r="L27" s="78"/>
      <c r="M27" s="76"/>
    </row>
    <row r="28" spans="1:13" s="58" customFormat="1" x14ac:dyDescent="0.3">
      <c r="A28" s="83"/>
      <c r="B28" s="550" t="s">
        <v>346</v>
      </c>
      <c r="C28" s="551"/>
      <c r="D28" s="78">
        <f t="shared" si="3"/>
        <v>0</v>
      </c>
      <c r="E28" s="78"/>
      <c r="F28" s="78">
        <f t="shared" si="0"/>
        <v>0</v>
      </c>
      <c r="G28" s="81"/>
      <c r="H28" s="81"/>
      <c r="I28" s="81"/>
      <c r="J28" s="81"/>
      <c r="K28" s="78">
        <f t="shared" si="2"/>
        <v>0</v>
      </c>
      <c r="L28" s="78"/>
      <c r="M28" s="76"/>
    </row>
    <row r="29" spans="1:13" s="58" customFormat="1" x14ac:dyDescent="0.3">
      <c r="A29" s="83"/>
      <c r="B29" s="550" t="s">
        <v>346</v>
      </c>
      <c r="C29" s="551"/>
      <c r="D29" s="78">
        <f t="shared" si="3"/>
        <v>0</v>
      </c>
      <c r="E29" s="78"/>
      <c r="F29" s="78">
        <f t="shared" si="0"/>
        <v>0</v>
      </c>
      <c r="G29" s="81"/>
      <c r="H29" s="81"/>
      <c r="I29" s="81"/>
      <c r="J29" s="81"/>
      <c r="K29" s="78">
        <f t="shared" si="2"/>
        <v>0</v>
      </c>
      <c r="L29" s="78"/>
      <c r="M29" s="76"/>
    </row>
    <row r="30" spans="1:13" s="58" customFormat="1" ht="46.8" x14ac:dyDescent="0.3">
      <c r="A30" s="84" t="s">
        <v>241</v>
      </c>
      <c r="B30" s="548" t="s">
        <v>347</v>
      </c>
      <c r="C30" s="549"/>
      <c r="D30" s="78">
        <f t="shared" si="3"/>
        <v>0</v>
      </c>
      <c r="E30" s="78"/>
      <c r="F30" s="78">
        <f t="shared" si="0"/>
        <v>0</v>
      </c>
      <c r="G30" s="78"/>
      <c r="H30" s="78"/>
      <c r="I30" s="78"/>
      <c r="J30" s="78"/>
      <c r="K30" s="78">
        <f t="shared" si="2"/>
        <v>0</v>
      </c>
      <c r="L30" s="78"/>
      <c r="M30" s="76"/>
    </row>
    <row r="31" spans="1:13" s="58" customFormat="1" x14ac:dyDescent="0.3">
      <c r="A31" s="84" t="s">
        <v>242</v>
      </c>
      <c r="B31" s="548" t="s">
        <v>345</v>
      </c>
      <c r="C31" s="549"/>
      <c r="D31" s="78">
        <f t="shared" si="3"/>
        <v>20000</v>
      </c>
      <c r="E31" s="78">
        <f>SUM(E32:E33)</f>
        <v>0</v>
      </c>
      <c r="F31" s="78">
        <f t="shared" si="0"/>
        <v>20000</v>
      </c>
      <c r="G31" s="78">
        <f>SUM(G32:G33)</f>
        <v>20000</v>
      </c>
      <c r="H31" s="78">
        <f t="shared" ref="H31:J31" si="7">SUM(H32:H33)</f>
        <v>0</v>
      </c>
      <c r="I31" s="78">
        <f t="shared" si="7"/>
        <v>0</v>
      </c>
      <c r="J31" s="78">
        <f t="shared" si="7"/>
        <v>0</v>
      </c>
      <c r="K31" s="78">
        <f t="shared" si="2"/>
        <v>0</v>
      </c>
      <c r="L31" s="78">
        <f t="shared" ref="L31" si="8">SUM(L32:L33)</f>
        <v>0</v>
      </c>
      <c r="M31" s="78">
        <f t="shared" ref="M31" si="9">SUM(M32:M33)</f>
        <v>0</v>
      </c>
    </row>
    <row r="32" spans="1:13" s="58" customFormat="1" x14ac:dyDescent="0.3">
      <c r="A32" s="83" t="s">
        <v>247</v>
      </c>
      <c r="B32" s="550" t="s">
        <v>345</v>
      </c>
      <c r="C32" s="551"/>
      <c r="D32" s="78">
        <f t="shared" si="3"/>
        <v>0</v>
      </c>
      <c r="E32" s="78"/>
      <c r="F32" s="78">
        <f t="shared" si="0"/>
        <v>0</v>
      </c>
      <c r="G32" s="81"/>
      <c r="H32" s="78"/>
      <c r="I32" s="78"/>
      <c r="J32" s="78"/>
      <c r="K32" s="78">
        <f t="shared" si="2"/>
        <v>0</v>
      </c>
      <c r="L32" s="78"/>
      <c r="M32" s="76"/>
    </row>
    <row r="33" spans="1:13" s="58" customFormat="1" x14ac:dyDescent="0.3">
      <c r="A33" s="83" t="s">
        <v>245</v>
      </c>
      <c r="B33" s="550" t="s">
        <v>345</v>
      </c>
      <c r="C33" s="551"/>
      <c r="D33" s="78">
        <f t="shared" si="3"/>
        <v>20000</v>
      </c>
      <c r="E33" s="78"/>
      <c r="F33" s="78">
        <f t="shared" si="0"/>
        <v>20000</v>
      </c>
      <c r="G33" s="81">
        <v>20000</v>
      </c>
      <c r="H33" s="81"/>
      <c r="I33" s="81"/>
      <c r="J33" s="81"/>
      <c r="K33" s="78">
        <f t="shared" si="2"/>
        <v>0</v>
      </c>
      <c r="L33" s="78"/>
      <c r="M33" s="76"/>
    </row>
    <row r="34" spans="1:13" s="58" customFormat="1" ht="46.8" x14ac:dyDescent="0.3">
      <c r="A34" s="84" t="s">
        <v>244</v>
      </c>
      <c r="B34" s="548" t="s">
        <v>348</v>
      </c>
      <c r="C34" s="549"/>
      <c r="D34" s="78">
        <f t="shared" si="3"/>
        <v>0</v>
      </c>
      <c r="E34" s="78"/>
      <c r="F34" s="78">
        <f t="shared" si="0"/>
        <v>0</v>
      </c>
      <c r="G34" s="78"/>
      <c r="H34" s="78"/>
      <c r="I34" s="78"/>
      <c r="J34" s="78"/>
      <c r="K34" s="78">
        <f t="shared" si="2"/>
        <v>0</v>
      </c>
      <c r="L34" s="78"/>
      <c r="M34" s="76"/>
    </row>
    <row r="35" spans="1:13" s="58" customFormat="1" x14ac:dyDescent="0.3">
      <c r="A35" s="84" t="s">
        <v>243</v>
      </c>
      <c r="B35" s="548" t="s">
        <v>349</v>
      </c>
      <c r="C35" s="549"/>
      <c r="D35" s="78">
        <f t="shared" si="3"/>
        <v>5000</v>
      </c>
      <c r="E35" s="78"/>
      <c r="F35" s="78">
        <f t="shared" si="0"/>
        <v>5000</v>
      </c>
      <c r="G35" s="78"/>
      <c r="H35" s="78"/>
      <c r="I35" s="78">
        <v>5000</v>
      </c>
      <c r="J35" s="78"/>
      <c r="K35" s="78">
        <f t="shared" si="2"/>
        <v>0</v>
      </c>
      <c r="L35" s="78"/>
      <c r="M35" s="76"/>
    </row>
    <row r="36" spans="1:13" s="58" customFormat="1" x14ac:dyDescent="0.3">
      <c r="A36" s="84" t="s">
        <v>329</v>
      </c>
      <c r="B36" s="548" t="s">
        <v>342</v>
      </c>
      <c r="C36" s="549"/>
      <c r="D36" s="78">
        <f t="shared" si="3"/>
        <v>0</v>
      </c>
      <c r="E36" s="78"/>
      <c r="F36" s="78">
        <f t="shared" si="0"/>
        <v>0</v>
      </c>
      <c r="G36" s="78"/>
      <c r="H36" s="78"/>
      <c r="I36" s="78"/>
      <c r="J36" s="78"/>
      <c r="K36" s="78">
        <f t="shared" si="2"/>
        <v>0</v>
      </c>
      <c r="L36" s="78"/>
      <c r="M36" s="76"/>
    </row>
    <row r="37" spans="1:13" s="58" customFormat="1" x14ac:dyDescent="0.3">
      <c r="A37" s="77" t="s">
        <v>33</v>
      </c>
      <c r="B37" s="321" t="s">
        <v>229</v>
      </c>
      <c r="C37" s="321" t="s">
        <v>184</v>
      </c>
      <c r="D37" s="78">
        <f>SUM(D39:D67)</f>
        <v>49426232.270000003</v>
      </c>
      <c r="E37" s="78">
        <f>SUM(E39:E67)</f>
        <v>34374938.100000001</v>
      </c>
      <c r="F37" s="78">
        <f>SUM(F39:F67)</f>
        <v>11044531.449999999</v>
      </c>
      <c r="G37" s="78">
        <f t="shared" ref="G37:M37" si="10">SUM(G39:G67)</f>
        <v>20000</v>
      </c>
      <c r="H37" s="78">
        <f t="shared" si="10"/>
        <v>395372.26</v>
      </c>
      <c r="I37" s="78">
        <f t="shared" si="10"/>
        <v>10629159.189999999</v>
      </c>
      <c r="J37" s="78">
        <f t="shared" si="10"/>
        <v>0</v>
      </c>
      <c r="K37" s="78">
        <f>SUM(K39:K67)</f>
        <v>4006762.72</v>
      </c>
      <c r="L37" s="78">
        <f>SUM(L39:L67)</f>
        <v>0</v>
      </c>
      <c r="M37" s="76">
        <f t="shared" si="10"/>
        <v>4006762.72</v>
      </c>
    </row>
    <row r="38" spans="1:13" x14ac:dyDescent="0.3">
      <c r="A38" s="79" t="s">
        <v>6</v>
      </c>
      <c r="B38" s="75"/>
      <c r="C38" s="80"/>
      <c r="D38" s="78"/>
      <c r="E38" s="78"/>
      <c r="F38" s="78"/>
      <c r="G38" s="81"/>
      <c r="H38" s="81"/>
      <c r="I38" s="81"/>
      <c r="J38" s="81"/>
      <c r="K38" s="78"/>
      <c r="L38" s="81"/>
      <c r="M38" s="81"/>
    </row>
    <row r="39" spans="1:13" x14ac:dyDescent="0.3">
      <c r="A39" s="79" t="s">
        <v>185</v>
      </c>
      <c r="B39" s="75">
        <v>111</v>
      </c>
      <c r="C39" s="75" t="s">
        <v>186</v>
      </c>
      <c r="D39" s="78">
        <f t="shared" ref="D39" si="11">E39+F39+K39</f>
        <v>18958383.370000001</v>
      </c>
      <c r="E39" s="81">
        <v>14090034.5</v>
      </c>
      <c r="F39" s="78">
        <f t="shared" ref="F39:F66" si="12">SUM(G39:J39)</f>
        <v>4868348.87</v>
      </c>
      <c r="G39" s="81"/>
      <c r="H39" s="81"/>
      <c r="I39" s="81">
        <v>4868348.87</v>
      </c>
      <c r="J39" s="78"/>
      <c r="K39" s="78">
        <f t="shared" ref="K39" si="13">SUM(L39:M39)</f>
        <v>0</v>
      </c>
      <c r="L39" s="81"/>
      <c r="M39" s="81"/>
    </row>
    <row r="40" spans="1:13" x14ac:dyDescent="0.3">
      <c r="A40" s="79" t="s">
        <v>187</v>
      </c>
      <c r="B40" s="75">
        <v>112</v>
      </c>
      <c r="C40" s="75" t="s">
        <v>188</v>
      </c>
      <c r="D40" s="78">
        <f t="shared" ref="D40:D67" si="14">E40+F40+K40</f>
        <v>39521.81</v>
      </c>
      <c r="E40" s="81">
        <v>13881</v>
      </c>
      <c r="F40" s="78">
        <f t="shared" si="12"/>
        <v>25640.81</v>
      </c>
      <c r="G40" s="81"/>
      <c r="H40" s="81"/>
      <c r="I40" s="81">
        <v>25640.81</v>
      </c>
      <c r="J40" s="78"/>
      <c r="K40" s="78">
        <f t="shared" ref="K40:K67" si="15">SUM(L40:M40)</f>
        <v>0</v>
      </c>
      <c r="L40" s="81"/>
      <c r="M40" s="81"/>
    </row>
    <row r="41" spans="1:13" x14ac:dyDescent="0.3">
      <c r="A41" s="79" t="s">
        <v>207</v>
      </c>
      <c r="B41" s="75">
        <v>113</v>
      </c>
      <c r="C41" s="75" t="s">
        <v>208</v>
      </c>
      <c r="D41" s="78">
        <f t="shared" si="14"/>
        <v>0</v>
      </c>
      <c r="E41" s="81"/>
      <c r="F41" s="78">
        <f t="shared" si="12"/>
        <v>0</v>
      </c>
      <c r="G41" s="81"/>
      <c r="H41" s="81"/>
      <c r="I41" s="81"/>
      <c r="J41" s="78"/>
      <c r="K41" s="78">
        <f t="shared" si="15"/>
        <v>0</v>
      </c>
      <c r="L41" s="81"/>
      <c r="M41" s="81"/>
    </row>
    <row r="42" spans="1:13" x14ac:dyDescent="0.3">
      <c r="A42" s="79" t="s">
        <v>189</v>
      </c>
      <c r="B42" s="75">
        <v>119</v>
      </c>
      <c r="C42" s="75" t="s">
        <v>190</v>
      </c>
      <c r="D42" s="78">
        <f t="shared" si="14"/>
        <v>5722595.29</v>
      </c>
      <c r="E42" s="81">
        <v>4255190.5</v>
      </c>
      <c r="F42" s="78">
        <f t="shared" si="12"/>
        <v>1467404.79</v>
      </c>
      <c r="G42" s="81"/>
      <c r="H42" s="81"/>
      <c r="I42" s="81">
        <v>1467404.79</v>
      </c>
      <c r="J42" s="78"/>
      <c r="K42" s="78">
        <f t="shared" si="15"/>
        <v>0</v>
      </c>
      <c r="L42" s="81"/>
      <c r="M42" s="81"/>
    </row>
    <row r="43" spans="1:13" x14ac:dyDescent="0.3">
      <c r="A43" s="79" t="s">
        <v>191</v>
      </c>
      <c r="B43" s="75">
        <v>244</v>
      </c>
      <c r="C43" s="75" t="s">
        <v>192</v>
      </c>
      <c r="D43" s="78">
        <f t="shared" si="14"/>
        <v>170881.27</v>
      </c>
      <c r="E43" s="81">
        <v>55000</v>
      </c>
      <c r="F43" s="78">
        <f t="shared" si="12"/>
        <v>115881.27</v>
      </c>
      <c r="G43" s="81"/>
      <c r="H43" s="81"/>
      <c r="I43" s="81">
        <v>115881.27</v>
      </c>
      <c r="J43" s="78"/>
      <c r="K43" s="78">
        <f t="shared" si="15"/>
        <v>0</v>
      </c>
      <c r="L43" s="81"/>
      <c r="M43" s="81"/>
    </row>
    <row r="44" spans="1:13" x14ac:dyDescent="0.3">
      <c r="A44" s="79" t="s">
        <v>193</v>
      </c>
      <c r="B44" s="75">
        <v>244</v>
      </c>
      <c r="C44" s="75" t="s">
        <v>194</v>
      </c>
      <c r="D44" s="78">
        <f t="shared" si="14"/>
        <v>5229</v>
      </c>
      <c r="E44" s="81">
        <v>5229</v>
      </c>
      <c r="F44" s="78">
        <f t="shared" si="12"/>
        <v>0</v>
      </c>
      <c r="G44" s="81"/>
      <c r="H44" s="81"/>
      <c r="I44" s="81"/>
      <c r="J44" s="78"/>
      <c r="K44" s="78">
        <f t="shared" si="15"/>
        <v>0</v>
      </c>
      <c r="L44" s="81"/>
      <c r="M44" s="81"/>
    </row>
    <row r="45" spans="1:13" x14ac:dyDescent="0.3">
      <c r="A45" s="79" t="s">
        <v>195</v>
      </c>
      <c r="B45" s="75">
        <v>244</v>
      </c>
      <c r="C45" s="75" t="s">
        <v>196</v>
      </c>
      <c r="D45" s="78">
        <f t="shared" si="14"/>
        <v>7479707.21</v>
      </c>
      <c r="E45" s="81">
        <v>6196930</v>
      </c>
      <c r="F45" s="78">
        <f t="shared" si="12"/>
        <v>1048605.1100000001</v>
      </c>
      <c r="G45" s="81"/>
      <c r="H45" s="81"/>
      <c r="I45" s="81">
        <v>1048605.1100000001</v>
      </c>
      <c r="J45" s="78"/>
      <c r="K45" s="78">
        <f t="shared" si="15"/>
        <v>234172.1</v>
      </c>
      <c r="L45" s="81"/>
      <c r="M45" s="81">
        <v>234172.1</v>
      </c>
    </row>
    <row r="46" spans="1:13" x14ac:dyDescent="0.3">
      <c r="A46" s="79" t="s">
        <v>197</v>
      </c>
      <c r="B46" s="75">
        <v>244</v>
      </c>
      <c r="C46" s="75" t="s">
        <v>198</v>
      </c>
      <c r="D46" s="78">
        <f t="shared" si="14"/>
        <v>3226761.76</v>
      </c>
      <c r="E46" s="81">
        <v>2644768</v>
      </c>
      <c r="F46" s="78">
        <f t="shared" si="12"/>
        <v>581993.76</v>
      </c>
      <c r="G46" s="81"/>
      <c r="H46" s="81"/>
      <c r="I46" s="81">
        <v>581993.76</v>
      </c>
      <c r="J46" s="78"/>
      <c r="K46" s="78">
        <f t="shared" si="15"/>
        <v>0</v>
      </c>
      <c r="L46" s="81"/>
      <c r="M46" s="81"/>
    </row>
    <row r="47" spans="1:13" ht="31.2" x14ac:dyDescent="0.3">
      <c r="A47" s="79" t="s">
        <v>230</v>
      </c>
      <c r="B47" s="75">
        <v>244</v>
      </c>
      <c r="C47" s="75" t="s">
        <v>199</v>
      </c>
      <c r="D47" s="78">
        <f t="shared" si="14"/>
        <v>606659.39</v>
      </c>
      <c r="E47" s="81">
        <v>428644.92</v>
      </c>
      <c r="F47" s="78">
        <f t="shared" si="12"/>
        <v>119691.07</v>
      </c>
      <c r="G47" s="81"/>
      <c r="H47" s="81"/>
      <c r="I47" s="81">
        <v>119691.07</v>
      </c>
      <c r="J47" s="78"/>
      <c r="K47" s="78">
        <f t="shared" si="15"/>
        <v>58323.4</v>
      </c>
      <c r="L47" s="81"/>
      <c r="M47" s="81">
        <v>58323.4</v>
      </c>
    </row>
    <row r="48" spans="1:13" x14ac:dyDescent="0.3">
      <c r="A48" s="79" t="s">
        <v>200</v>
      </c>
      <c r="B48" s="75">
        <v>244</v>
      </c>
      <c r="C48" s="75" t="s">
        <v>201</v>
      </c>
      <c r="D48" s="78">
        <f t="shared" si="14"/>
        <v>0</v>
      </c>
      <c r="E48" s="81"/>
      <c r="F48" s="78">
        <f t="shared" si="12"/>
        <v>0</v>
      </c>
      <c r="G48" s="81"/>
      <c r="H48" s="81"/>
      <c r="I48" s="81"/>
      <c r="J48" s="78"/>
      <c r="K48" s="78">
        <f t="shared" si="15"/>
        <v>0</v>
      </c>
      <c r="L48" s="81"/>
      <c r="M48" s="81"/>
    </row>
    <row r="49" spans="1:13" x14ac:dyDescent="0.3">
      <c r="A49" s="79" t="s">
        <v>202</v>
      </c>
      <c r="B49" s="75">
        <v>243</v>
      </c>
      <c r="C49" s="75" t="s">
        <v>203</v>
      </c>
      <c r="D49" s="78">
        <f t="shared" si="14"/>
        <v>0</v>
      </c>
      <c r="E49" s="81"/>
      <c r="F49" s="78">
        <f t="shared" si="12"/>
        <v>0</v>
      </c>
      <c r="G49" s="81"/>
      <c r="H49" s="81"/>
      <c r="I49" s="81"/>
      <c r="J49" s="78"/>
      <c r="K49" s="78">
        <f t="shared" si="15"/>
        <v>0</v>
      </c>
      <c r="L49" s="81"/>
      <c r="M49" s="81"/>
    </row>
    <row r="50" spans="1:13" x14ac:dyDescent="0.3">
      <c r="A50" s="79" t="s">
        <v>202</v>
      </c>
      <c r="B50" s="75">
        <v>244</v>
      </c>
      <c r="C50" s="75" t="s">
        <v>203</v>
      </c>
      <c r="D50" s="78">
        <f t="shared" si="14"/>
        <v>757342.8</v>
      </c>
      <c r="E50" s="81">
        <f>372644-119457.52</f>
        <v>253186.48</v>
      </c>
      <c r="F50" s="78">
        <f t="shared" si="12"/>
        <v>384698.8</v>
      </c>
      <c r="G50" s="81"/>
      <c r="H50" s="81">
        <v>203072.26</v>
      </c>
      <c r="I50" s="81">
        <v>181626.54</v>
      </c>
      <c r="J50" s="78"/>
      <c r="K50" s="78">
        <f t="shared" si="15"/>
        <v>119457.52</v>
      </c>
      <c r="L50" s="81"/>
      <c r="M50" s="81">
        <v>119457.52</v>
      </c>
    </row>
    <row r="51" spans="1:13" x14ac:dyDescent="0.3">
      <c r="A51" s="79" t="s">
        <v>202</v>
      </c>
      <c r="B51" s="75">
        <v>407</v>
      </c>
      <c r="C51" s="75" t="s">
        <v>203</v>
      </c>
      <c r="D51" s="78">
        <f t="shared" si="14"/>
        <v>0</v>
      </c>
      <c r="E51" s="81"/>
      <c r="F51" s="78">
        <f t="shared" si="12"/>
        <v>0</v>
      </c>
      <c r="G51" s="81"/>
      <c r="H51" s="81"/>
      <c r="I51" s="81"/>
      <c r="J51" s="78"/>
      <c r="K51" s="78">
        <f t="shared" si="15"/>
        <v>0</v>
      </c>
      <c r="L51" s="81"/>
      <c r="M51" s="81"/>
    </row>
    <row r="52" spans="1:13" x14ac:dyDescent="0.3">
      <c r="A52" s="79" t="s">
        <v>204</v>
      </c>
      <c r="B52" s="75">
        <v>244</v>
      </c>
      <c r="C52" s="75" t="s">
        <v>205</v>
      </c>
      <c r="D52" s="78">
        <f t="shared" si="14"/>
        <v>1052325.5</v>
      </c>
      <c r="E52" s="81">
        <v>652127</v>
      </c>
      <c r="F52" s="78">
        <f t="shared" si="12"/>
        <v>400198.5</v>
      </c>
      <c r="G52" s="81"/>
      <c r="H52" s="81">
        <v>50000</v>
      </c>
      <c r="I52" s="81">
        <v>350198.5</v>
      </c>
      <c r="J52" s="78"/>
      <c r="K52" s="78">
        <f t="shared" si="15"/>
        <v>0</v>
      </c>
      <c r="L52" s="81"/>
      <c r="M52" s="81"/>
    </row>
    <row r="53" spans="1:13" ht="31.2" x14ac:dyDescent="0.3">
      <c r="A53" s="79" t="s">
        <v>231</v>
      </c>
      <c r="B53" s="75">
        <v>321</v>
      </c>
      <c r="C53" s="75" t="s">
        <v>883</v>
      </c>
      <c r="D53" s="78">
        <f t="shared" si="14"/>
        <v>0</v>
      </c>
      <c r="E53" s="81"/>
      <c r="F53" s="78">
        <f t="shared" si="12"/>
        <v>0</v>
      </c>
      <c r="G53" s="81"/>
      <c r="H53" s="81"/>
      <c r="I53" s="81"/>
      <c r="J53" s="78"/>
      <c r="K53" s="78">
        <f t="shared" si="15"/>
        <v>0</v>
      </c>
      <c r="L53" s="81"/>
      <c r="M53" s="81"/>
    </row>
    <row r="54" spans="1:13" ht="31.2" x14ac:dyDescent="0.3">
      <c r="A54" s="79" t="s">
        <v>232</v>
      </c>
      <c r="B54" s="75">
        <v>340</v>
      </c>
      <c r="C54" s="75" t="s">
        <v>883</v>
      </c>
      <c r="D54" s="78">
        <f t="shared" si="14"/>
        <v>2966320</v>
      </c>
      <c r="E54" s="81"/>
      <c r="F54" s="78">
        <f t="shared" si="12"/>
        <v>0</v>
      </c>
      <c r="G54" s="81"/>
      <c r="H54" s="81"/>
      <c r="I54" s="81"/>
      <c r="J54" s="78"/>
      <c r="K54" s="78">
        <f t="shared" si="15"/>
        <v>2966320</v>
      </c>
      <c r="L54" s="81"/>
      <c r="M54" s="81">
        <v>2966320</v>
      </c>
    </row>
    <row r="55" spans="1:13" x14ac:dyDescent="0.3">
      <c r="A55" s="79" t="s">
        <v>207</v>
      </c>
      <c r="B55" s="75">
        <v>244</v>
      </c>
      <c r="C55" s="75" t="s">
        <v>208</v>
      </c>
      <c r="D55" s="78">
        <f t="shared" ref="D55" si="16">E55+F55+K55</f>
        <v>0</v>
      </c>
      <c r="E55" s="81"/>
      <c r="F55" s="78">
        <f t="shared" si="12"/>
        <v>0</v>
      </c>
      <c r="G55" s="81"/>
      <c r="H55" s="81"/>
      <c r="I55" s="81"/>
      <c r="J55" s="78"/>
      <c r="K55" s="78">
        <f t="shared" ref="K55" si="17">SUM(L55:M55)</f>
        <v>0</v>
      </c>
      <c r="L55" s="81"/>
      <c r="M55" s="81"/>
    </row>
    <row r="56" spans="1:13" x14ac:dyDescent="0.3">
      <c r="A56" s="79" t="s">
        <v>207</v>
      </c>
      <c r="B56" s="75">
        <v>360</v>
      </c>
      <c r="C56" s="75" t="s">
        <v>208</v>
      </c>
      <c r="D56" s="78">
        <f t="shared" si="14"/>
        <v>117548.7</v>
      </c>
      <c r="E56" s="81"/>
      <c r="F56" s="78">
        <f t="shared" si="12"/>
        <v>0</v>
      </c>
      <c r="G56" s="81"/>
      <c r="H56" s="81"/>
      <c r="I56" s="81"/>
      <c r="J56" s="78"/>
      <c r="K56" s="78">
        <f t="shared" si="15"/>
        <v>117548.7</v>
      </c>
      <c r="L56" s="81"/>
      <c r="M56" s="81">
        <f>88251+29297.7</f>
        <v>117548.7</v>
      </c>
    </row>
    <row r="57" spans="1:13" x14ac:dyDescent="0.3">
      <c r="A57" s="79" t="s">
        <v>207</v>
      </c>
      <c r="B57" s="75">
        <v>831</v>
      </c>
      <c r="C57" s="75" t="s">
        <v>208</v>
      </c>
      <c r="D57" s="78">
        <f t="shared" si="14"/>
        <v>74200.759999999995</v>
      </c>
      <c r="E57" s="81"/>
      <c r="F57" s="78">
        <f t="shared" si="12"/>
        <v>74200.759999999995</v>
      </c>
      <c r="G57" s="81"/>
      <c r="H57" s="81"/>
      <c r="I57" s="81">
        <v>74200.759999999995</v>
      </c>
      <c r="J57" s="78"/>
      <c r="K57" s="78">
        <f t="shared" si="15"/>
        <v>0</v>
      </c>
      <c r="L57" s="81"/>
      <c r="M57" s="81"/>
    </row>
    <row r="58" spans="1:13" x14ac:dyDescent="0.3">
      <c r="A58" s="79" t="s">
        <v>207</v>
      </c>
      <c r="B58" s="75">
        <v>851</v>
      </c>
      <c r="C58" s="75" t="s">
        <v>208</v>
      </c>
      <c r="D58" s="78">
        <f t="shared" si="14"/>
        <v>1616097.79</v>
      </c>
      <c r="E58" s="81">
        <v>1523228</v>
      </c>
      <c r="F58" s="78">
        <f t="shared" si="12"/>
        <v>92869.79</v>
      </c>
      <c r="G58" s="81"/>
      <c r="H58" s="81">
        <v>20000</v>
      </c>
      <c r="I58" s="81">
        <v>72869.789999999994</v>
      </c>
      <c r="J58" s="78"/>
      <c r="K58" s="78">
        <f t="shared" si="15"/>
        <v>0</v>
      </c>
      <c r="L58" s="81"/>
      <c r="M58" s="81"/>
    </row>
    <row r="59" spans="1:13" x14ac:dyDescent="0.3">
      <c r="A59" s="79" t="s">
        <v>207</v>
      </c>
      <c r="B59" s="75">
        <v>852</v>
      </c>
      <c r="C59" s="75" t="s">
        <v>208</v>
      </c>
      <c r="D59" s="78">
        <f t="shared" si="14"/>
        <v>445076.4</v>
      </c>
      <c r="E59" s="81">
        <v>414120</v>
      </c>
      <c r="F59" s="78">
        <f t="shared" si="12"/>
        <v>30956.400000000001</v>
      </c>
      <c r="G59" s="81"/>
      <c r="H59" s="81"/>
      <c r="I59" s="81">
        <v>30956.400000000001</v>
      </c>
      <c r="J59" s="78"/>
      <c r="K59" s="78">
        <f t="shared" si="15"/>
        <v>0</v>
      </c>
      <c r="L59" s="81"/>
      <c r="M59" s="81"/>
    </row>
    <row r="60" spans="1:13" x14ac:dyDescent="0.3">
      <c r="A60" s="79" t="s">
        <v>207</v>
      </c>
      <c r="B60" s="75">
        <v>853</v>
      </c>
      <c r="C60" s="75" t="s">
        <v>208</v>
      </c>
      <c r="D60" s="78">
        <f t="shared" si="14"/>
        <v>50027.15</v>
      </c>
      <c r="E60" s="81"/>
      <c r="F60" s="78">
        <f t="shared" si="12"/>
        <v>50027.15</v>
      </c>
      <c r="G60" s="81"/>
      <c r="H60" s="81"/>
      <c r="I60" s="81">
        <v>50027.15</v>
      </c>
      <c r="J60" s="78"/>
      <c r="K60" s="78">
        <f t="shared" si="15"/>
        <v>0</v>
      </c>
      <c r="L60" s="81"/>
      <c r="M60" s="81"/>
    </row>
    <row r="61" spans="1:13" x14ac:dyDescent="0.3">
      <c r="A61" s="79" t="s">
        <v>209</v>
      </c>
      <c r="B61" s="75">
        <v>244</v>
      </c>
      <c r="C61" s="75" t="s">
        <v>210</v>
      </c>
      <c r="D61" s="78">
        <f t="shared" si="14"/>
        <v>770692.58</v>
      </c>
      <c r="E61" s="81">
        <v>100000</v>
      </c>
      <c r="F61" s="78">
        <f t="shared" si="12"/>
        <v>207911.58</v>
      </c>
      <c r="G61" s="81"/>
      <c r="H61" s="81"/>
      <c r="I61" s="81">
        <v>207911.58</v>
      </c>
      <c r="J61" s="78"/>
      <c r="K61" s="78">
        <f t="shared" si="15"/>
        <v>462781</v>
      </c>
      <c r="L61" s="81"/>
      <c r="M61" s="81">
        <v>462781</v>
      </c>
    </row>
    <row r="62" spans="1:13" ht="31.2" x14ac:dyDescent="0.3">
      <c r="A62" s="79" t="s">
        <v>211</v>
      </c>
      <c r="B62" s="75">
        <v>244</v>
      </c>
      <c r="C62" s="75" t="s">
        <v>212</v>
      </c>
      <c r="D62" s="78">
        <f t="shared" si="14"/>
        <v>10833</v>
      </c>
      <c r="E62" s="81">
        <v>10833</v>
      </c>
      <c r="F62" s="78">
        <f t="shared" si="12"/>
        <v>0</v>
      </c>
      <c r="G62" s="81"/>
      <c r="H62" s="81"/>
      <c r="I62" s="81"/>
      <c r="J62" s="78"/>
      <c r="K62" s="78">
        <f t="shared" si="15"/>
        <v>0</v>
      </c>
      <c r="L62" s="81"/>
      <c r="M62" s="81"/>
    </row>
    <row r="63" spans="1:13" ht="31.2" x14ac:dyDescent="0.3">
      <c r="A63" s="79" t="s">
        <v>213</v>
      </c>
      <c r="B63" s="75">
        <v>244</v>
      </c>
      <c r="C63" s="75" t="s">
        <v>214</v>
      </c>
      <c r="D63" s="78">
        <f t="shared" si="14"/>
        <v>2304007.19</v>
      </c>
      <c r="E63" s="81">
        <v>1866580.7</v>
      </c>
      <c r="F63" s="78">
        <f t="shared" si="12"/>
        <v>437426.49</v>
      </c>
      <c r="G63" s="81"/>
      <c r="H63" s="81"/>
      <c r="I63" s="81">
        <v>437426.49</v>
      </c>
      <c r="J63" s="78"/>
      <c r="K63" s="78">
        <f t="shared" si="15"/>
        <v>0</v>
      </c>
      <c r="L63" s="81"/>
      <c r="M63" s="81"/>
    </row>
    <row r="64" spans="1:13" ht="31.2" x14ac:dyDescent="0.3">
      <c r="A64" s="79" t="s">
        <v>215</v>
      </c>
      <c r="B64" s="75">
        <v>244</v>
      </c>
      <c r="C64" s="75" t="s">
        <v>216</v>
      </c>
      <c r="D64" s="78">
        <f t="shared" si="14"/>
        <v>2182069.08</v>
      </c>
      <c r="E64" s="81">
        <v>1533196</v>
      </c>
      <c r="F64" s="78">
        <f t="shared" si="12"/>
        <v>648873.07999999996</v>
      </c>
      <c r="G64" s="81">
        <v>20000</v>
      </c>
      <c r="H64" s="81"/>
      <c r="I64" s="81">
        <v>628873.07999999996</v>
      </c>
      <c r="J64" s="78"/>
      <c r="K64" s="78">
        <f t="shared" si="15"/>
        <v>0</v>
      </c>
      <c r="L64" s="81"/>
      <c r="M64" s="81"/>
    </row>
    <row r="65" spans="1:13" ht="46.8" x14ac:dyDescent="0.3">
      <c r="A65" s="79" t="s">
        <v>217</v>
      </c>
      <c r="B65" s="75">
        <v>244</v>
      </c>
      <c r="C65" s="75" t="s">
        <v>218</v>
      </c>
      <c r="D65" s="78">
        <f t="shared" si="14"/>
        <v>555679.32999999996</v>
      </c>
      <c r="E65" s="81">
        <f>198841-48160</f>
        <v>150681</v>
      </c>
      <c r="F65" s="78">
        <f t="shared" si="12"/>
        <v>356838.33</v>
      </c>
      <c r="G65" s="81"/>
      <c r="H65" s="81">
        <v>122300</v>
      </c>
      <c r="I65" s="81">
        <v>234538.33</v>
      </c>
      <c r="J65" s="78"/>
      <c r="K65" s="78">
        <f t="shared" si="15"/>
        <v>48160</v>
      </c>
      <c r="L65" s="81"/>
      <c r="M65" s="81">
        <v>48160</v>
      </c>
    </row>
    <row r="66" spans="1:13" ht="46.8" x14ac:dyDescent="0.3">
      <c r="A66" s="79" t="s">
        <v>219</v>
      </c>
      <c r="B66" s="75">
        <v>244</v>
      </c>
      <c r="C66" s="75" t="s">
        <v>220</v>
      </c>
      <c r="D66" s="78">
        <f t="shared" si="14"/>
        <v>314272.89</v>
      </c>
      <c r="E66" s="81">
        <v>181308</v>
      </c>
      <c r="F66" s="78">
        <f t="shared" si="12"/>
        <v>132964.89000000001</v>
      </c>
      <c r="G66" s="81"/>
      <c r="H66" s="81"/>
      <c r="I66" s="81">
        <v>132964.89000000001</v>
      </c>
      <c r="J66" s="78"/>
      <c r="K66" s="78">
        <f t="shared" si="15"/>
        <v>0</v>
      </c>
      <c r="L66" s="81"/>
      <c r="M66" s="81"/>
    </row>
    <row r="67" spans="1:13" x14ac:dyDescent="0.3">
      <c r="A67" s="79" t="s">
        <v>299</v>
      </c>
      <c r="B67" s="550" t="s">
        <v>300</v>
      </c>
      <c r="C67" s="551"/>
      <c r="D67" s="78">
        <f t="shared" si="14"/>
        <v>0</v>
      </c>
      <c r="E67" s="81"/>
      <c r="F67" s="78">
        <f t="shared" ref="F67" si="18">SUM(G67:J67)</f>
        <v>0</v>
      </c>
      <c r="G67" s="81"/>
      <c r="H67" s="81"/>
      <c r="I67" s="81"/>
      <c r="J67" s="78"/>
      <c r="K67" s="78">
        <f t="shared" si="15"/>
        <v>0</v>
      </c>
      <c r="L67" s="81"/>
      <c r="M67" s="81"/>
    </row>
    <row r="68" spans="1:13" s="58" customFormat="1" x14ac:dyDescent="0.3">
      <c r="A68" s="77" t="s">
        <v>71</v>
      </c>
      <c r="B68" s="548"/>
      <c r="C68" s="549"/>
      <c r="D68" s="78">
        <f>D11+D12-D37</f>
        <v>0</v>
      </c>
      <c r="E68" s="78">
        <f>E11+E12-E37</f>
        <v>0</v>
      </c>
      <c r="F68" s="78">
        <f t="shared" ref="F68:M68" si="19">F11+F12-F37</f>
        <v>0</v>
      </c>
      <c r="G68" s="78">
        <f t="shared" si="19"/>
        <v>0</v>
      </c>
      <c r="H68" s="78">
        <f t="shared" si="19"/>
        <v>0</v>
      </c>
      <c r="I68" s="78">
        <f t="shared" si="19"/>
        <v>0</v>
      </c>
      <c r="J68" s="78">
        <f t="shared" si="19"/>
        <v>0</v>
      </c>
      <c r="K68" s="78">
        <f t="shared" si="19"/>
        <v>0</v>
      </c>
      <c r="L68" s="78">
        <f t="shared" si="19"/>
        <v>0</v>
      </c>
      <c r="M68" s="78">
        <f t="shared" si="19"/>
        <v>0</v>
      </c>
    </row>
    <row r="70" spans="1:13" x14ac:dyDescent="0.3">
      <c r="A70" s="142" t="s">
        <v>352</v>
      </c>
      <c r="B70" s="57"/>
      <c r="C70" s="44"/>
      <c r="D70" s="417"/>
      <c r="E70" s="530"/>
      <c r="F70" s="530"/>
      <c r="G70" s="449"/>
      <c r="H70" s="526" t="s">
        <v>810</v>
      </c>
      <c r="I70" s="526"/>
      <c r="J70" s="363"/>
      <c r="K70" s="363"/>
      <c r="L70" s="363"/>
      <c r="M70" s="450"/>
    </row>
    <row r="71" spans="1:13" x14ac:dyDescent="0.3">
      <c r="A71" s="141"/>
      <c r="B71" s="57"/>
      <c r="C71" s="44"/>
      <c r="D71" s="417"/>
      <c r="E71" s="527" t="s">
        <v>96</v>
      </c>
      <c r="F71" s="527"/>
      <c r="G71" s="449"/>
      <c r="H71" s="527" t="s">
        <v>97</v>
      </c>
      <c r="I71" s="527"/>
      <c r="J71" s="363"/>
      <c r="K71" s="363"/>
      <c r="L71" s="363"/>
      <c r="M71" s="450"/>
    </row>
    <row r="72" spans="1:13" x14ac:dyDescent="0.3">
      <c r="A72" s="141" t="s">
        <v>154</v>
      </c>
      <c r="B72" s="57"/>
      <c r="C72" s="44"/>
      <c r="D72" s="417"/>
      <c r="E72" s="439"/>
      <c r="F72" s="439"/>
      <c r="G72" s="449"/>
      <c r="H72" s="440"/>
      <c r="I72" s="440"/>
      <c r="J72" s="363"/>
      <c r="K72" s="363"/>
      <c r="L72" s="363"/>
      <c r="M72" s="450"/>
    </row>
    <row r="73" spans="1:13" x14ac:dyDescent="0.3">
      <c r="A73" s="142" t="s">
        <v>296</v>
      </c>
      <c r="B73" s="57"/>
      <c r="C73" s="44"/>
      <c r="D73" s="417"/>
      <c r="E73" s="526"/>
      <c r="F73" s="526"/>
      <c r="G73" s="449"/>
      <c r="H73" s="526" t="s">
        <v>811</v>
      </c>
      <c r="I73" s="526"/>
      <c r="J73" s="363"/>
      <c r="K73" s="363"/>
      <c r="L73" s="363"/>
      <c r="M73" s="450"/>
    </row>
    <row r="74" spans="1:13" x14ac:dyDescent="0.3">
      <c r="A74" s="142"/>
      <c r="C74" s="44"/>
      <c r="D74" s="417"/>
      <c r="E74" s="527" t="s">
        <v>96</v>
      </c>
      <c r="F74" s="527"/>
      <c r="G74" s="449"/>
      <c r="H74" s="527" t="s">
        <v>97</v>
      </c>
      <c r="I74" s="527"/>
      <c r="J74" s="363"/>
      <c r="K74" s="363"/>
      <c r="L74" s="363"/>
      <c r="M74" s="450"/>
    </row>
    <row r="75" spans="1:13" x14ac:dyDescent="0.3">
      <c r="A75" s="142"/>
      <c r="C75" s="44"/>
      <c r="D75" s="417"/>
      <c r="E75" s="439"/>
      <c r="F75" s="439"/>
      <c r="G75" s="449"/>
      <c r="H75" s="439"/>
      <c r="I75" s="439"/>
      <c r="J75" s="363"/>
      <c r="K75" s="363"/>
      <c r="L75" s="363"/>
      <c r="M75" s="450"/>
    </row>
    <row r="76" spans="1:13" x14ac:dyDescent="0.3">
      <c r="A76" s="142" t="s">
        <v>297</v>
      </c>
      <c r="C76" s="44"/>
      <c r="D76" s="524" t="s">
        <v>910</v>
      </c>
      <c r="E76" s="524"/>
      <c r="F76" s="451"/>
      <c r="G76" s="452"/>
      <c r="H76" s="450"/>
      <c r="I76" s="547" t="s">
        <v>811</v>
      </c>
      <c r="J76" s="547"/>
      <c r="K76" s="547"/>
      <c r="L76" s="545" t="s">
        <v>912</v>
      </c>
      <c r="M76" s="545"/>
    </row>
    <row r="77" spans="1:13" x14ac:dyDescent="0.3">
      <c r="D77" s="544" t="s">
        <v>152</v>
      </c>
      <c r="E77" s="544"/>
      <c r="F77" s="451"/>
      <c r="G77" s="430" t="s">
        <v>96</v>
      </c>
      <c r="H77" s="450"/>
      <c r="I77" s="544" t="s">
        <v>97</v>
      </c>
      <c r="J77" s="544"/>
      <c r="K77" s="544"/>
      <c r="L77" s="546" t="s">
        <v>176</v>
      </c>
      <c r="M77" s="546"/>
    </row>
  </sheetData>
  <mergeCells count="56">
    <mergeCell ref="B67:C67"/>
    <mergeCell ref="B68:C68"/>
    <mergeCell ref="E73:F73"/>
    <mergeCell ref="H73:I73"/>
    <mergeCell ref="B6:C9"/>
    <mergeCell ref="B10:C10"/>
    <mergeCell ref="B11:C11"/>
    <mergeCell ref="B12:C12"/>
    <mergeCell ref="B15:C15"/>
    <mergeCell ref="B24:C24"/>
    <mergeCell ref="B25:C25"/>
    <mergeCell ref="B16:C16"/>
    <mergeCell ref="B17:C17"/>
    <mergeCell ref="B18:C18"/>
    <mergeCell ref="B19:C19"/>
    <mergeCell ref="B20:C20"/>
    <mergeCell ref="L8:M8"/>
    <mergeCell ref="F8:F9"/>
    <mergeCell ref="K8:K9"/>
    <mergeCell ref="A2:M2"/>
    <mergeCell ref="A6:A9"/>
    <mergeCell ref="D6:D9"/>
    <mergeCell ref="E6:M6"/>
    <mergeCell ref="E7:E9"/>
    <mergeCell ref="F7:J7"/>
    <mergeCell ref="G8:J8"/>
    <mergeCell ref="K7:M7"/>
    <mergeCell ref="A3:M4"/>
    <mergeCell ref="B36:C36"/>
    <mergeCell ref="B13:C13"/>
    <mergeCell ref="B14:C14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D77:E77"/>
    <mergeCell ref="H71:I71"/>
    <mergeCell ref="L76:M76"/>
    <mergeCell ref="L77:M77"/>
    <mergeCell ref="I76:K76"/>
    <mergeCell ref="I77:K77"/>
    <mergeCell ref="E70:F70"/>
    <mergeCell ref="H70:I70"/>
    <mergeCell ref="E71:F71"/>
    <mergeCell ref="E74:F74"/>
    <mergeCell ref="D76:E76"/>
    <mergeCell ref="H74:I74"/>
  </mergeCells>
  <printOptions horizontalCentered="1"/>
  <pageMargins left="0.59055118110236227" right="0.19685039370078741" top="0.39370078740157483" bottom="0.39370078740157483" header="0.31496062992125984" footer="0.31496062992125984"/>
  <pageSetup paperSize="9" scale="47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0" workbookViewId="0">
      <selection activeCell="H22" sqref="H22:I22"/>
    </sheetView>
  </sheetViews>
  <sheetFormatPr defaultColWidth="9.109375" defaultRowHeight="15.6" x14ac:dyDescent="0.3"/>
  <cols>
    <col min="1" max="1" width="25.6640625" style="143" customWidth="1"/>
    <col min="2" max="2" width="15.5546875" style="143" bestFit="1" customWidth="1"/>
    <col min="3" max="3" width="8.6640625" style="143" bestFit="1" customWidth="1"/>
    <col min="4" max="4" width="7.44140625" style="143" bestFit="1" customWidth="1"/>
    <col min="5" max="10" width="17.6640625" style="143" customWidth="1"/>
    <col min="11" max="16384" width="9.109375" style="362"/>
  </cols>
  <sheetData>
    <row r="1" spans="1:10" x14ac:dyDescent="0.3">
      <c r="H1" s="143" t="s">
        <v>95</v>
      </c>
      <c r="J1" s="420"/>
    </row>
    <row r="2" spans="1:10" x14ac:dyDescent="0.3">
      <c r="H2" s="143" t="s">
        <v>768</v>
      </c>
      <c r="I2" s="362"/>
      <c r="J2" s="420"/>
    </row>
    <row r="3" spans="1:10" x14ac:dyDescent="0.3">
      <c r="H3" s="143" t="s">
        <v>769</v>
      </c>
      <c r="I3" s="362"/>
      <c r="J3" s="420"/>
    </row>
    <row r="4" spans="1:10" x14ac:dyDescent="0.3">
      <c r="H4" s="453"/>
      <c r="I4" s="362" t="s">
        <v>778</v>
      </c>
      <c r="J4" s="420"/>
    </row>
    <row r="5" spans="1:10" x14ac:dyDescent="0.3">
      <c r="H5" s="143" t="str">
        <f>'Заголовочная часть'!J6</f>
        <v>« 06 » апреля 2018 года</v>
      </c>
      <c r="J5" s="420"/>
    </row>
    <row r="6" spans="1:10" x14ac:dyDescent="0.3">
      <c r="J6" s="420"/>
    </row>
    <row r="7" spans="1:10" s="454" customFormat="1" ht="15.75" customHeight="1" x14ac:dyDescent="0.3">
      <c r="A7" s="570" t="s">
        <v>770</v>
      </c>
      <c r="B7" s="570"/>
      <c r="C7" s="570"/>
      <c r="D7" s="570"/>
      <c r="E7" s="570"/>
      <c r="F7" s="570"/>
      <c r="G7" s="570"/>
      <c r="H7" s="570"/>
      <c r="I7" s="570"/>
      <c r="J7" s="570"/>
    </row>
    <row r="8" spans="1:10" s="454" customFormat="1" ht="17.399999999999999" x14ac:dyDescent="0.3">
      <c r="A8" s="570"/>
      <c r="B8" s="570"/>
      <c r="C8" s="570"/>
      <c r="D8" s="570"/>
      <c r="E8" s="570"/>
      <c r="F8" s="570"/>
      <c r="G8" s="570"/>
      <c r="H8" s="570"/>
      <c r="I8" s="570"/>
      <c r="J8" s="570"/>
    </row>
    <row r="9" spans="1:10" s="454" customFormat="1" ht="17.399999999999999" x14ac:dyDescent="0.3">
      <c r="A9" s="570" t="str">
        <f>'Заголовочная часть'!A10</f>
        <v>на 2018 финансовый год и плановый период 2019 и 2020 годов</v>
      </c>
      <c r="B9" s="570"/>
      <c r="C9" s="570"/>
      <c r="D9" s="570"/>
      <c r="E9" s="570"/>
      <c r="F9" s="570"/>
      <c r="G9" s="570"/>
      <c r="H9" s="570"/>
      <c r="I9" s="570"/>
      <c r="J9" s="570"/>
    </row>
    <row r="10" spans="1:10" s="454" customFormat="1" ht="18.75" customHeight="1" x14ac:dyDescent="0.3">
      <c r="A10" s="571" t="str">
        <f>'Заголовочная часть'!B14</f>
        <v>Областное государственное бюджетное профессиональное образовательное учреждение "Костромской автодорожный колледж"</v>
      </c>
      <c r="B10" s="571"/>
      <c r="C10" s="571"/>
      <c r="D10" s="571"/>
      <c r="E10" s="571"/>
      <c r="F10" s="571"/>
      <c r="G10" s="571"/>
      <c r="H10" s="571"/>
      <c r="I10" s="571"/>
      <c r="J10" s="571"/>
    </row>
    <row r="11" spans="1:10" s="454" customFormat="1" ht="17.399999999999999" x14ac:dyDescent="0.3">
      <c r="A11" s="571"/>
      <c r="B11" s="571"/>
      <c r="C11" s="571"/>
      <c r="D11" s="571"/>
      <c r="E11" s="571"/>
      <c r="F11" s="571"/>
      <c r="G11" s="571"/>
      <c r="H11" s="571"/>
      <c r="I11" s="571"/>
      <c r="J11" s="571"/>
    </row>
    <row r="13" spans="1:10" x14ac:dyDescent="0.3">
      <c r="A13" s="572" t="s">
        <v>771</v>
      </c>
      <c r="B13" s="575" t="s">
        <v>772</v>
      </c>
      <c r="C13" s="575"/>
      <c r="D13" s="575"/>
      <c r="E13" s="572" t="s">
        <v>781</v>
      </c>
      <c r="F13" s="572" t="s">
        <v>780</v>
      </c>
      <c r="G13" s="572" t="s">
        <v>782</v>
      </c>
      <c r="H13" s="572" t="s">
        <v>783</v>
      </c>
      <c r="I13" s="575" t="s">
        <v>784</v>
      </c>
      <c r="J13" s="575" t="s">
        <v>785</v>
      </c>
    </row>
    <row r="14" spans="1:10" x14ac:dyDescent="0.3">
      <c r="A14" s="572"/>
      <c r="B14" s="575"/>
      <c r="C14" s="575"/>
      <c r="D14" s="575"/>
      <c r="E14" s="572"/>
      <c r="F14" s="572"/>
      <c r="G14" s="572"/>
      <c r="H14" s="572"/>
      <c r="I14" s="575"/>
      <c r="J14" s="575"/>
    </row>
    <row r="15" spans="1:10" x14ac:dyDescent="0.3">
      <c r="A15" s="572"/>
      <c r="B15" s="575"/>
      <c r="C15" s="575"/>
      <c r="D15" s="575"/>
      <c r="E15" s="572"/>
      <c r="F15" s="572"/>
      <c r="G15" s="572"/>
      <c r="H15" s="572"/>
      <c r="I15" s="575"/>
      <c r="J15" s="575"/>
    </row>
    <row r="16" spans="1:10" x14ac:dyDescent="0.3">
      <c r="A16" s="572"/>
      <c r="B16" s="575"/>
      <c r="C16" s="575"/>
      <c r="D16" s="575"/>
      <c r="E16" s="572"/>
      <c r="F16" s="572"/>
      <c r="G16" s="572"/>
      <c r="H16" s="572"/>
      <c r="I16" s="575"/>
      <c r="J16" s="575"/>
    </row>
    <row r="17" spans="1:10" x14ac:dyDescent="0.3">
      <c r="A17" s="572"/>
      <c r="B17" s="572" t="s">
        <v>2</v>
      </c>
      <c r="C17" s="572" t="s">
        <v>779</v>
      </c>
      <c r="D17" s="572" t="s">
        <v>773</v>
      </c>
      <c r="E17" s="572"/>
      <c r="F17" s="572"/>
      <c r="G17" s="572"/>
      <c r="H17" s="572"/>
      <c r="I17" s="575"/>
      <c r="J17" s="575"/>
    </row>
    <row r="18" spans="1:10" x14ac:dyDescent="0.3">
      <c r="A18" s="572"/>
      <c r="B18" s="573"/>
      <c r="C18" s="573"/>
      <c r="D18" s="573"/>
      <c r="E18" s="572"/>
      <c r="F18" s="572"/>
      <c r="G18" s="572"/>
      <c r="H18" s="572"/>
      <c r="I18" s="575"/>
      <c r="J18" s="575"/>
    </row>
    <row r="19" spans="1:10" x14ac:dyDescent="0.3">
      <c r="A19" s="572"/>
      <c r="B19" s="573"/>
      <c r="C19" s="573"/>
      <c r="D19" s="573"/>
      <c r="E19" s="572"/>
      <c r="F19" s="572"/>
      <c r="G19" s="572"/>
      <c r="H19" s="572"/>
      <c r="I19" s="575"/>
      <c r="J19" s="575"/>
    </row>
    <row r="20" spans="1:10" x14ac:dyDescent="0.3">
      <c r="A20" s="572"/>
      <c r="B20" s="574"/>
      <c r="C20" s="574"/>
      <c r="D20" s="574"/>
      <c r="E20" s="572"/>
      <c r="F20" s="572"/>
      <c r="G20" s="572"/>
      <c r="H20" s="572"/>
      <c r="I20" s="575"/>
      <c r="J20" s="575"/>
    </row>
    <row r="21" spans="1:10" x14ac:dyDescent="0.3">
      <c r="A21" s="435">
        <v>1</v>
      </c>
      <c r="B21" s="435">
        <v>2</v>
      </c>
      <c r="C21" s="435">
        <v>3</v>
      </c>
      <c r="D21" s="435">
        <v>4</v>
      </c>
      <c r="E21" s="435">
        <v>5</v>
      </c>
      <c r="F21" s="435">
        <v>6</v>
      </c>
      <c r="G21" s="435">
        <v>7</v>
      </c>
      <c r="H21" s="435">
        <v>8</v>
      </c>
      <c r="I21" s="435">
        <v>9</v>
      </c>
      <c r="J21" s="435">
        <v>10</v>
      </c>
    </row>
    <row r="22" spans="1:10" s="457" customFormat="1" ht="78" x14ac:dyDescent="0.3">
      <c r="A22" s="437" t="s">
        <v>774</v>
      </c>
      <c r="B22" s="436" t="s">
        <v>775</v>
      </c>
      <c r="C22" s="436" t="s">
        <v>776</v>
      </c>
      <c r="D22" s="455">
        <f>177+66+22+20+62+59+99+17+74+33+2+24+7+25+21+5+5+5</f>
        <v>723</v>
      </c>
      <c r="E22" s="456">
        <f>E24/D22</f>
        <v>18559.16</v>
      </c>
      <c r="F22" s="456">
        <f>F24/D22</f>
        <v>21869.22</v>
      </c>
      <c r="G22" s="456">
        <f>E22+F22</f>
        <v>40428.379999999997</v>
      </c>
      <c r="H22" s="456">
        <f>H24</f>
        <v>29229720.68</v>
      </c>
      <c r="I22" s="456">
        <f>I24</f>
        <v>5139722.8</v>
      </c>
      <c r="J22" s="456">
        <f>J24</f>
        <v>34369443.479999997</v>
      </c>
    </row>
    <row r="23" spans="1:10" s="457" customFormat="1" ht="31.2" x14ac:dyDescent="0.3">
      <c r="A23" s="437" t="s">
        <v>777</v>
      </c>
      <c r="B23" s="436" t="s">
        <v>24</v>
      </c>
      <c r="C23" s="436" t="s">
        <v>24</v>
      </c>
      <c r="D23" s="436" t="s">
        <v>24</v>
      </c>
      <c r="E23" s="436" t="s">
        <v>24</v>
      </c>
      <c r="F23" s="436" t="s">
        <v>24</v>
      </c>
      <c r="G23" s="436" t="s">
        <v>24</v>
      </c>
      <c r="H23" s="456">
        <f>H22</f>
        <v>29229720.68</v>
      </c>
      <c r="I23" s="456">
        <f t="shared" ref="I23:J23" si="0">I22</f>
        <v>5139722.8</v>
      </c>
      <c r="J23" s="456">
        <f t="shared" si="0"/>
        <v>34369443.479999997</v>
      </c>
    </row>
    <row r="24" spans="1:10" x14ac:dyDescent="0.3">
      <c r="D24" s="458"/>
      <c r="E24" s="459">
        <f>'Таблица 6'!F32</f>
        <v>13418275.560000001</v>
      </c>
      <c r="F24" s="459">
        <f>'Таблица 6'!F75</f>
        <v>15811445.119999999</v>
      </c>
      <c r="G24" s="459">
        <f>E24+F24-H24</f>
        <v>0</v>
      </c>
      <c r="H24" s="459">
        <f>'Таблица 6'!F32+'Таблица 6'!F75</f>
        <v>29229720.68</v>
      </c>
      <c r="I24" s="459">
        <f>'Таблица 6'!F86</f>
        <v>5139722.8</v>
      </c>
      <c r="J24" s="460">
        <f>H24+I24</f>
        <v>34369443.479999997</v>
      </c>
    </row>
    <row r="25" spans="1:10" x14ac:dyDescent="0.3">
      <c r="D25" s="458"/>
      <c r="E25" s="461"/>
      <c r="F25" s="461"/>
      <c r="G25" s="461"/>
      <c r="H25" s="461"/>
      <c r="I25" s="461"/>
      <c r="J25" s="462"/>
    </row>
    <row r="26" spans="1:10" x14ac:dyDescent="0.3">
      <c r="A26" s="463" t="s">
        <v>175</v>
      </c>
      <c r="B26" s="363"/>
      <c r="C26" s="362"/>
      <c r="D26" s="362"/>
      <c r="E26" s="524"/>
      <c r="F26" s="524"/>
      <c r="G26" s="363"/>
      <c r="H26" s="524" t="s">
        <v>810</v>
      </c>
      <c r="I26" s="524"/>
      <c r="J26" s="362"/>
    </row>
    <row r="27" spans="1:10" x14ac:dyDescent="0.3">
      <c r="A27" s="464"/>
      <c r="B27" s="423"/>
      <c r="C27" s="362"/>
      <c r="D27" s="362"/>
      <c r="E27" s="525" t="s">
        <v>96</v>
      </c>
      <c r="F27" s="525"/>
      <c r="G27" s="363"/>
      <c r="H27" s="525" t="s">
        <v>97</v>
      </c>
      <c r="I27" s="525"/>
      <c r="J27" s="362"/>
    </row>
    <row r="28" spans="1:10" x14ac:dyDescent="0.3">
      <c r="A28" s="465" t="s">
        <v>154</v>
      </c>
      <c r="B28" s="423"/>
      <c r="C28" s="362"/>
      <c r="D28" s="362"/>
      <c r="E28" s="432"/>
      <c r="F28" s="363"/>
      <c r="G28" s="363"/>
      <c r="H28" s="363"/>
      <c r="I28" s="432"/>
      <c r="J28" s="362"/>
    </row>
    <row r="29" spans="1:10" x14ac:dyDescent="0.3">
      <c r="A29" s="463" t="s">
        <v>296</v>
      </c>
      <c r="B29" s="363"/>
      <c r="C29" s="362"/>
      <c r="D29" s="362"/>
      <c r="E29" s="524"/>
      <c r="F29" s="524"/>
      <c r="G29" s="363"/>
      <c r="H29" s="524" t="s">
        <v>811</v>
      </c>
      <c r="I29" s="524"/>
      <c r="J29" s="362"/>
    </row>
    <row r="30" spans="1:10" x14ac:dyDescent="0.3">
      <c r="A30" s="466"/>
      <c r="B30" s="363"/>
      <c r="C30" s="362"/>
      <c r="D30" s="362"/>
      <c r="E30" s="525" t="s">
        <v>96</v>
      </c>
      <c r="F30" s="525"/>
      <c r="G30" s="363"/>
      <c r="H30" s="525" t="s">
        <v>97</v>
      </c>
      <c r="I30" s="525"/>
      <c r="J30" s="362"/>
    </row>
    <row r="31" spans="1:10" x14ac:dyDescent="0.3">
      <c r="A31" s="464"/>
      <c r="B31" s="363"/>
      <c r="C31" s="362"/>
      <c r="D31" s="362"/>
      <c r="E31" s="363"/>
      <c r="F31" s="363"/>
      <c r="G31" s="363"/>
      <c r="H31" s="363"/>
      <c r="I31" s="363"/>
      <c r="J31" s="362"/>
    </row>
    <row r="32" spans="1:10" x14ac:dyDescent="0.3">
      <c r="A32" s="463" t="s">
        <v>297</v>
      </c>
      <c r="B32" s="363"/>
      <c r="C32" s="362"/>
      <c r="D32" s="524" t="s">
        <v>910</v>
      </c>
      <c r="E32" s="524"/>
      <c r="F32" s="524"/>
      <c r="G32" s="427"/>
      <c r="H32" s="427" t="s">
        <v>811</v>
      </c>
      <c r="I32" s="427"/>
      <c r="J32" s="480" t="s">
        <v>912</v>
      </c>
    </row>
    <row r="33" spans="1:10" x14ac:dyDescent="0.3">
      <c r="A33" s="463" t="str">
        <f>'Заголовочная часть'!J6</f>
        <v>« 06 » апреля 2018 года</v>
      </c>
      <c r="B33" s="363"/>
      <c r="C33" s="362"/>
      <c r="D33" s="525" t="s">
        <v>152</v>
      </c>
      <c r="E33" s="525"/>
      <c r="F33" s="525"/>
      <c r="G33" s="414" t="s">
        <v>96</v>
      </c>
      <c r="H33" s="525" t="s">
        <v>298</v>
      </c>
      <c r="I33" s="525"/>
      <c r="J33" s="431" t="s">
        <v>176</v>
      </c>
    </row>
    <row r="35" spans="1:10" x14ac:dyDescent="0.3">
      <c r="I35" s="363"/>
      <c r="J35" s="363"/>
    </row>
    <row r="36" spans="1:10" x14ac:dyDescent="0.3">
      <c r="I36" s="363"/>
      <c r="J36" s="363"/>
    </row>
    <row r="37" spans="1:10" x14ac:dyDescent="0.3">
      <c r="I37" s="363"/>
      <c r="J37" s="363"/>
    </row>
    <row r="38" spans="1:10" x14ac:dyDescent="0.3">
      <c r="I38" s="363"/>
      <c r="J38" s="363"/>
    </row>
    <row r="39" spans="1:10" x14ac:dyDescent="0.3">
      <c r="I39" s="363"/>
      <c r="J39" s="363"/>
    </row>
    <row r="40" spans="1:10" x14ac:dyDescent="0.3">
      <c r="I40" s="363"/>
      <c r="J40" s="363"/>
    </row>
  </sheetData>
  <mergeCells count="25">
    <mergeCell ref="H26:I26"/>
    <mergeCell ref="H27:I27"/>
    <mergeCell ref="J13:J20"/>
    <mergeCell ref="E26:F26"/>
    <mergeCell ref="E27:F27"/>
    <mergeCell ref="E13:E20"/>
    <mergeCell ref="F13:F20"/>
    <mergeCell ref="G13:G20"/>
    <mergeCell ref="H13:H20"/>
    <mergeCell ref="I13:I20"/>
    <mergeCell ref="A7:J8"/>
    <mergeCell ref="A10:J11"/>
    <mergeCell ref="B17:B20"/>
    <mergeCell ref="C17:C20"/>
    <mergeCell ref="D17:D20"/>
    <mergeCell ref="A9:J9"/>
    <mergeCell ref="A13:A20"/>
    <mergeCell ref="B13:D16"/>
    <mergeCell ref="D33:F33"/>
    <mergeCell ref="D32:F32"/>
    <mergeCell ref="H33:I33"/>
    <mergeCell ref="H29:I29"/>
    <mergeCell ref="E30:F30"/>
    <mergeCell ref="H30:I30"/>
    <mergeCell ref="E29:F29"/>
  </mergeCells>
  <hyperlinks>
    <hyperlink ref="J13" location="_ftn2" display="Сумма финансового обеспечения выполнения государственного задания (руб.)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84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ABA748A9D35994DAB1566D606119C2F" ma:contentTypeVersion="49" ma:contentTypeDescription="Создание документа." ma:contentTypeScope="" ma:versionID="36afae136c387f961aa1c864a4ad87e5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6e09b999f97b71efe9758af45dbe1f3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252ca3-5a62-4c1c-90a6-29f4710e47f8">AWJJH2MPE6E2-546857116-70</_dlc_DocId>
    <_dlc_DocIdUrl xmlns="4a252ca3-5a62-4c1c-90a6-29f4710e47f8">
      <Url>http://sps-2016-2/npo/kadk/_layouts/15/DocIdRedir.aspx?ID=AWJJH2MPE6E2-546857116-70</Url>
      <Description>AWJJH2MPE6E2-546857116-70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0605A38-DDF2-4018-8D48-433C706071C3}"/>
</file>

<file path=customXml/itemProps2.xml><?xml version="1.0" encoding="utf-8"?>
<ds:datastoreItem xmlns:ds="http://schemas.openxmlformats.org/officeDocument/2006/customXml" ds:itemID="{3EABC8A0-77A6-44FC-8774-788F579E883B}"/>
</file>

<file path=customXml/itemProps3.xml><?xml version="1.0" encoding="utf-8"?>
<ds:datastoreItem xmlns:ds="http://schemas.openxmlformats.org/officeDocument/2006/customXml" ds:itemID="{A6EC5F7C-B0E8-4746-8FBD-E3C17538E1AE}"/>
</file>

<file path=customXml/itemProps4.xml><?xml version="1.0" encoding="utf-8"?>
<ds:datastoreItem xmlns:ds="http://schemas.openxmlformats.org/officeDocument/2006/customXml" ds:itemID="{B10CFE44-A234-438C-B34C-98252F9A65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9</vt:i4>
      </vt:variant>
    </vt:vector>
  </HeadingPairs>
  <TitlesOfParts>
    <vt:vector size="36" baseType="lpstr">
      <vt:lpstr>Заголовочная часть</vt:lpstr>
      <vt:lpstr>Таблица 1</vt:lpstr>
      <vt:lpstr>Таблица 2 (2018)</vt:lpstr>
      <vt:lpstr>Таблица 2.1 (2019)</vt:lpstr>
      <vt:lpstr>Таблица 2.2 (2020)</vt:lpstr>
      <vt:lpstr>Таблица 2.3</vt:lpstr>
      <vt:lpstr>Таблица 3, 4</vt:lpstr>
      <vt:lpstr>Таблица 5</vt:lpstr>
      <vt:lpstr>Таблица по услугам</vt:lpstr>
      <vt:lpstr>Таблица 6</vt:lpstr>
      <vt:lpstr>Сведения профы</vt:lpstr>
      <vt:lpstr>Таблица 4.1</vt:lpstr>
      <vt:lpstr>Приложение 1</vt:lpstr>
      <vt:lpstr>Приложение 1.1</vt:lpstr>
      <vt:lpstr>112</vt:lpstr>
      <vt:lpstr>119</vt:lpstr>
      <vt:lpstr>321</vt:lpstr>
      <vt:lpstr>340, 360</vt:lpstr>
      <vt:lpstr>851, 852, 853</vt:lpstr>
      <vt:lpstr>244 не закупка</vt:lpstr>
      <vt:lpstr>221, 222, 224</vt:lpstr>
      <vt:lpstr>223</vt:lpstr>
      <vt:lpstr>225</vt:lpstr>
      <vt:lpstr>226</vt:lpstr>
      <vt:lpstr>310, 340</vt:lpstr>
      <vt:lpstr>предписания</vt:lpstr>
      <vt:lpstr>развитие МТБ</vt:lpstr>
      <vt:lpstr>'225'!Заголовки_для_печати</vt:lpstr>
      <vt:lpstr>'226'!Заголовки_для_печати</vt:lpstr>
      <vt:lpstr>'310, 340'!Заголовки_для_печати</vt:lpstr>
      <vt:lpstr>предписания!Заголовки_для_печати</vt:lpstr>
      <vt:lpstr>'развитие МТБ'!Заголовки_для_печати</vt:lpstr>
      <vt:lpstr>'Сведения профы'!Заголовки_для_печати</vt:lpstr>
      <vt:lpstr>'Таблица 5'!Заголовки_для_печати</vt:lpstr>
      <vt:lpstr>'Таблица 6'!Заголовки_для_печати</vt:lpstr>
      <vt:lpstr>'Приложение 1.1'!Область_печати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Главбух</cp:lastModifiedBy>
  <cp:lastPrinted>2018-02-15T15:51:54Z</cp:lastPrinted>
  <dcterms:created xsi:type="dcterms:W3CDTF">2017-12-05T23:55:56Z</dcterms:created>
  <dcterms:modified xsi:type="dcterms:W3CDTF">2018-04-10T11:31:10Z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0x0101009ABA748A9D35994DAB1566D606119C2F</vt:lpwstr>
  </property>
  <property fmtid="{D5CDD505-2E9C-101B-9397-08002B2CF9AE}" pid="3" name="_dlc_DocIdItemGuid">
    <vt:lpwstr>cf4c68de-8dc8-4f97-91b7-ea1f5dd9ba5e</vt:lpwstr>
  </property>
</Properties>
</file>